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proj\TIGER 2018 BUILD\FWW Cap BCA Cincinnati\BCA\"/>
    </mc:Choice>
  </mc:AlternateContent>
  <bookViews>
    <workbookView xWindow="0" yWindow="0" windowWidth="28260" windowHeight="11070" activeTab="6"/>
  </bookViews>
  <sheets>
    <sheet name="Summary" sheetId="1" r:id="rId1"/>
    <sheet name="Project Costs" sheetId="8" r:id="rId2"/>
    <sheet name="Flood Repair" sheetId="7" r:id="rId3"/>
    <sheet name="Property Value" sheetId="2" r:id="rId4"/>
    <sheet name="Pedestrian" sheetId="4" r:id="rId5"/>
    <sheet name="Bicycle" sheetId="3" r:id="rId6"/>
    <sheet name="Electric P&amp;R VMT reduction" sheetId="5" r:id="rId7"/>
    <sheet name="VMT-related Pavement benefits" sheetId="10" r:id="rId8"/>
    <sheet name="VMT-related Emissions Benefits" sheetId="11" r:id="rId9"/>
  </sheets>
  <definedNames>
    <definedName name="_xlnm.Print_Area" localSheetId="5">Bicycle!$A$1:$K$99</definedName>
    <definedName name="_xlnm.Print_Area" localSheetId="2">'Flood Repair'!$A$1:$G$42</definedName>
    <definedName name="_xlnm.Print_Area" localSheetId="4">Pedestrian!$A$1:$L$111</definedName>
    <definedName name="_xlnm.Print_Area" localSheetId="1">'Project Costs'!$A$1:$O$40</definedName>
    <definedName name="_xlnm.Print_Area" localSheetId="3">'Property Value'!$B$1:$M$188</definedName>
    <definedName name="_xlnm.Print_Area" localSheetId="0">Summary!$A$1:$E$32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0" l="1"/>
  <c r="H21" i="5" l="1"/>
  <c r="K22" i="5"/>
  <c r="D24" i="5"/>
  <c r="H24" i="5"/>
  <c r="C8" i="7" l="1"/>
  <c r="D8" i="7" s="1"/>
  <c r="L9" i="8"/>
  <c r="L8" i="8"/>
  <c r="L7" i="8"/>
  <c r="K8" i="8"/>
  <c r="E8" i="7" l="1"/>
  <c r="C9" i="7"/>
  <c r="K9" i="8"/>
  <c r="D101" i="2"/>
  <c r="E101" i="2"/>
  <c r="F101" i="2"/>
  <c r="C101" i="2"/>
  <c r="G185" i="2"/>
  <c r="G183" i="2"/>
  <c r="F181" i="2"/>
  <c r="D9" i="7" l="1"/>
  <c r="E9" i="7"/>
  <c r="G8" i="7"/>
  <c r="F8" i="7"/>
  <c r="G9" i="7" l="1"/>
  <c r="F9" i="7"/>
  <c r="C159" i="2"/>
  <c r="C154" i="2"/>
  <c r="C155" i="2" s="1"/>
  <c r="C165" i="2"/>
  <c r="D165" i="2"/>
  <c r="G48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E91" i="2"/>
  <c r="F91" i="2"/>
  <c r="F183" i="2"/>
  <c r="E183" i="2"/>
  <c r="E185" i="2"/>
  <c r="F185" i="2"/>
  <c r="F103" i="2" l="1"/>
  <c r="E103" i="2"/>
  <c r="G73" i="2"/>
  <c r="E165" i="2"/>
  <c r="F11" i="2" s="1"/>
  <c r="F12" i="2" s="1"/>
  <c r="F13" i="2" s="1"/>
  <c r="F40" i="2" l="1"/>
  <c r="B8" i="8"/>
  <c r="B9" i="8"/>
  <c r="D136" i="2"/>
  <c r="C136" i="2"/>
  <c r="D185" i="2"/>
  <c r="C185" i="2"/>
  <c r="H185" i="2" s="1"/>
  <c r="P18" i="11"/>
  <c r="O18" i="11"/>
  <c r="N18" i="11"/>
  <c r="M18" i="11"/>
  <c r="L18" i="11"/>
  <c r="P17" i="11"/>
  <c r="O17" i="11"/>
  <c r="N17" i="11"/>
  <c r="M17" i="11"/>
  <c r="L17" i="11"/>
  <c r="P16" i="11"/>
  <c r="O16" i="11"/>
  <c r="N16" i="11"/>
  <c r="M16" i="11"/>
  <c r="L16" i="11"/>
  <c r="K18" i="11"/>
  <c r="K17" i="11"/>
  <c r="K16" i="11"/>
  <c r="E136" i="2" l="1"/>
  <c r="E11" i="2" s="1"/>
  <c r="G13" i="2" l="1"/>
  <c r="G12" i="2"/>
  <c r="G11" i="2"/>
  <c r="E12" i="2"/>
  <c r="E13" i="2" s="1"/>
  <c r="Y18" i="11"/>
  <c r="X18" i="11"/>
  <c r="W18" i="11"/>
  <c r="V18" i="11"/>
  <c r="Y17" i="11"/>
  <c r="X17" i="11"/>
  <c r="W17" i="11"/>
  <c r="V17" i="11"/>
  <c r="Y16" i="11"/>
  <c r="X16" i="11"/>
  <c r="W16" i="11"/>
  <c r="V16" i="11"/>
  <c r="R18" i="11"/>
  <c r="T18" i="11" s="1"/>
  <c r="R17" i="11"/>
  <c r="T17" i="11" s="1"/>
  <c r="R16" i="11"/>
  <c r="T16" i="11" s="1"/>
  <c r="G40" i="2" l="1"/>
  <c r="AB17" i="11"/>
  <c r="E40" i="2"/>
  <c r="AB18" i="11"/>
  <c r="AB16" i="11"/>
  <c r="B19" i="11" l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B46" i="11" s="1"/>
  <c r="B47" i="11" s="1"/>
  <c r="B48" i="11" s="1"/>
  <c r="A17" i="1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B12" i="10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A10" i="10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D16" i="11" l="1"/>
  <c r="AC16" i="11"/>
  <c r="AD17" i="11"/>
  <c r="AC17" i="11"/>
  <c r="AD18" i="11"/>
  <c r="AC18" i="11"/>
  <c r="F10" i="10"/>
  <c r="E10" i="10"/>
  <c r="F11" i="10"/>
  <c r="E11" i="10"/>
  <c r="F9" i="10"/>
  <c r="E9" i="10"/>
  <c r="K59" i="2" l="1"/>
  <c r="L11" i="8"/>
  <c r="L12" i="8" s="1"/>
  <c r="L13" i="8" s="1"/>
  <c r="L14" i="8" s="1"/>
  <c r="L15" i="8" s="1"/>
  <c r="L16" i="8" s="1"/>
  <c r="L17" i="8" s="1"/>
  <c r="L18" i="8" s="1"/>
  <c r="L19" i="8" s="1"/>
  <c r="L20" i="8" s="1"/>
  <c r="L21" i="8" s="1"/>
  <c r="L22" i="8" s="1"/>
  <c r="L23" i="8" s="1"/>
  <c r="L24" i="8" s="1"/>
  <c r="L25" i="8" s="1"/>
  <c r="L26" i="8" s="1"/>
  <c r="L27" i="8" s="1"/>
  <c r="L28" i="8" s="1"/>
  <c r="L29" i="8" s="1"/>
  <c r="L30" i="8" s="1"/>
  <c r="L31" i="8" s="1"/>
  <c r="L32" i="8" s="1"/>
  <c r="L33" i="8" s="1"/>
  <c r="L34" i="8" s="1"/>
  <c r="L35" i="8" s="1"/>
  <c r="L36" i="8" s="1"/>
  <c r="L37" i="8" s="1"/>
  <c r="L38" i="8" s="1"/>
  <c r="L39" i="8" s="1"/>
  <c r="F46" i="7"/>
  <c r="H46" i="7" s="1"/>
  <c r="F47" i="7" s="1"/>
  <c r="E48" i="7" s="1"/>
  <c r="K10" i="8" l="1"/>
  <c r="K11" i="8" s="1"/>
  <c r="K12" i="8" s="1"/>
  <c r="K13" i="8" s="1"/>
  <c r="K14" i="8" s="1"/>
  <c r="K15" i="8" s="1"/>
  <c r="K16" i="8" s="1"/>
  <c r="K17" i="8" s="1"/>
  <c r="K18" i="8" s="1"/>
  <c r="K19" i="8" s="1"/>
  <c r="K20" i="8" s="1"/>
  <c r="K21" i="8" s="1"/>
  <c r="K22" i="8" s="1"/>
  <c r="K23" i="8" s="1"/>
  <c r="K24" i="8" s="1"/>
  <c r="K25" i="8" s="1"/>
  <c r="K26" i="8" s="1"/>
  <c r="K27" i="8" s="1"/>
  <c r="K28" i="8" s="1"/>
  <c r="K29" i="8" s="1"/>
  <c r="K30" i="8" s="1"/>
  <c r="K31" i="8" s="1"/>
  <c r="K32" i="8" s="1"/>
  <c r="K33" i="8" s="1"/>
  <c r="K34" i="8" s="1"/>
  <c r="K35" i="8" s="1"/>
  <c r="K36" i="8" s="1"/>
  <c r="K37" i="8" s="1"/>
  <c r="K38" i="8" s="1"/>
  <c r="K39" i="8" s="1"/>
  <c r="L40" i="8"/>
  <c r="H55" i="5"/>
  <c r="G55" i="5"/>
  <c r="C10" i="7" l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K40" i="8"/>
  <c r="H56" i="5"/>
  <c r="G56" i="5"/>
  <c r="H53" i="5"/>
  <c r="G53" i="5"/>
  <c r="H52" i="5"/>
  <c r="G52" i="5"/>
  <c r="G54" i="5" l="1"/>
  <c r="H54" i="5"/>
  <c r="H57" i="5" s="1"/>
  <c r="E39" i="7"/>
  <c r="C40" i="7"/>
  <c r="E40" i="7" s="1"/>
  <c r="G57" i="5"/>
  <c r="G43" i="5"/>
  <c r="G42" i="5"/>
  <c r="G35" i="5"/>
  <c r="G36" i="5"/>
  <c r="C48" i="11" l="1"/>
  <c r="C41" i="10"/>
  <c r="C19" i="11"/>
  <c r="K19" i="11" s="1"/>
  <c r="E106" i="4"/>
  <c r="E11" i="4" s="1"/>
  <c r="E10" i="4" s="1"/>
  <c r="J11" i="8"/>
  <c r="J12" i="8" s="1"/>
  <c r="J13" i="8" s="1"/>
  <c r="J14" i="8" s="1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D83" i="3"/>
  <c r="D85" i="3" s="1"/>
  <c r="D14" i="3" s="1"/>
  <c r="E63" i="3"/>
  <c r="D63" i="3"/>
  <c r="E62" i="3"/>
  <c r="E59" i="3"/>
  <c r="D59" i="3"/>
  <c r="E58" i="3"/>
  <c r="D58" i="3"/>
  <c r="E57" i="3"/>
  <c r="D72" i="3" s="1"/>
  <c r="D57" i="3"/>
  <c r="D68" i="3" s="1"/>
  <c r="C68" i="3" s="1"/>
  <c r="E56" i="3"/>
  <c r="D56" i="3"/>
  <c r="B13" i="3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H11" i="3"/>
  <c r="A11" i="3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H10" i="3"/>
  <c r="J10" i="3" s="1"/>
  <c r="H9" i="4"/>
  <c r="H8" i="4"/>
  <c r="J8" i="4" s="1"/>
  <c r="E97" i="4"/>
  <c r="E99" i="4" s="1"/>
  <c r="C12" i="4" s="1"/>
  <c r="G89" i="4"/>
  <c r="E81" i="4"/>
  <c r="E56" i="4"/>
  <c r="E55" i="4"/>
  <c r="D72" i="4" s="1"/>
  <c r="C72" i="4" s="1"/>
  <c r="E54" i="4"/>
  <c r="D71" i="4" s="1"/>
  <c r="C71" i="4" s="1"/>
  <c r="E53" i="4"/>
  <c r="E70" i="4" s="1"/>
  <c r="D70" i="4" s="1"/>
  <c r="C70" i="4" s="1"/>
  <c r="E60" i="4"/>
  <c r="E59" i="4"/>
  <c r="D60" i="4"/>
  <c r="D55" i="4"/>
  <c r="D67" i="4" s="1"/>
  <c r="C67" i="4" s="1"/>
  <c r="D54" i="4"/>
  <c r="D66" i="4" s="1"/>
  <c r="C66" i="4" s="1"/>
  <c r="D56" i="4"/>
  <c r="D53" i="4"/>
  <c r="D65" i="4" s="1"/>
  <c r="C65" i="4" s="1"/>
  <c r="B11" i="4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9" i="2"/>
  <c r="H8" i="2"/>
  <c r="I8" i="2" s="1"/>
  <c r="D91" i="2"/>
  <c r="C91" i="2"/>
  <c r="H54" i="2"/>
  <c r="D41" i="10" l="1"/>
  <c r="C13" i="10"/>
  <c r="C14" i="10" s="1"/>
  <c r="C103" i="2"/>
  <c r="D103" i="2"/>
  <c r="D12" i="10"/>
  <c r="E82" i="4"/>
  <c r="E83" i="4" s="1"/>
  <c r="E84" i="4" s="1"/>
  <c r="C72" i="3"/>
  <c r="E76" i="3" s="1"/>
  <c r="E77" i="3" s="1"/>
  <c r="E78" i="3" s="1"/>
  <c r="C14" i="3" s="1"/>
  <c r="E92" i="3"/>
  <c r="E93" i="3" s="1"/>
  <c r="E13" i="3" s="1"/>
  <c r="E14" i="3" s="1"/>
  <c r="E15" i="3" s="1"/>
  <c r="D13" i="3"/>
  <c r="D15" i="3"/>
  <c r="M19" i="11"/>
  <c r="W19" i="11" s="1"/>
  <c r="R19" i="11"/>
  <c r="T19" i="11" s="1"/>
  <c r="P19" i="11"/>
  <c r="N19" i="11"/>
  <c r="X19" i="11" s="1"/>
  <c r="L19" i="11"/>
  <c r="V19" i="11" s="1"/>
  <c r="O19" i="11"/>
  <c r="Y19" i="11" s="1"/>
  <c r="C20" i="11"/>
  <c r="L20" i="11" s="1"/>
  <c r="E41" i="10"/>
  <c r="F41" i="10"/>
  <c r="C13" i="4"/>
  <c r="C11" i="4"/>
  <c r="L48" i="11"/>
  <c r="V48" i="11" s="1"/>
  <c r="M48" i="11"/>
  <c r="W48" i="11" s="1"/>
  <c r="K48" i="11"/>
  <c r="R48" i="11" s="1"/>
  <c r="T48" i="11" s="1"/>
  <c r="O48" i="11"/>
  <c r="Y48" i="11" s="1"/>
  <c r="P48" i="11"/>
  <c r="N48" i="11"/>
  <c r="X48" i="11" s="1"/>
  <c r="E12" i="4"/>
  <c r="E13" i="4" s="1"/>
  <c r="E14" i="4" s="1"/>
  <c r="J9" i="4"/>
  <c r="I9" i="4"/>
  <c r="I8" i="4"/>
  <c r="J8" i="2"/>
  <c r="D16" i="3"/>
  <c r="J11" i="3"/>
  <c r="I11" i="3"/>
  <c r="I10" i="3"/>
  <c r="E90" i="4"/>
  <c r="E91" i="4" s="1"/>
  <c r="E92" i="4" s="1"/>
  <c r="D183" i="2"/>
  <c r="C183" i="2"/>
  <c r="D12" i="4" l="1"/>
  <c r="G103" i="2"/>
  <c r="D11" i="2" s="1"/>
  <c r="D12" i="2" s="1"/>
  <c r="D13" i="2" s="1"/>
  <c r="D11" i="4"/>
  <c r="D13" i="4"/>
  <c r="C13" i="3"/>
  <c r="C15" i="3"/>
  <c r="C16" i="3" s="1"/>
  <c r="C17" i="3" s="1"/>
  <c r="K20" i="11"/>
  <c r="R20" i="11" s="1"/>
  <c r="T20" i="11" s="1"/>
  <c r="O20" i="11"/>
  <c r="Y20" i="11" s="1"/>
  <c r="P20" i="11"/>
  <c r="C21" i="11"/>
  <c r="V20" i="11"/>
  <c r="N20" i="11"/>
  <c r="X20" i="11" s="1"/>
  <c r="M20" i="11"/>
  <c r="W20" i="11" s="1"/>
  <c r="D13" i="10"/>
  <c r="AB48" i="11"/>
  <c r="AB19" i="11"/>
  <c r="F12" i="10"/>
  <c r="E12" i="10"/>
  <c r="E16" i="3"/>
  <c r="D17" i="3"/>
  <c r="E15" i="4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O7" i="8" s="1"/>
  <c r="I8" i="8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D7" i="8"/>
  <c r="E13" i="10" l="1"/>
  <c r="F13" i="10"/>
  <c r="F15" i="3"/>
  <c r="H15" i="3" s="1"/>
  <c r="I15" i="3" s="1"/>
  <c r="AC19" i="11"/>
  <c r="AD19" i="11"/>
  <c r="AC48" i="11"/>
  <c r="AD48" i="11"/>
  <c r="O21" i="11"/>
  <c r="Y21" i="11" s="1"/>
  <c r="L21" i="11"/>
  <c r="V21" i="11" s="1"/>
  <c r="N21" i="11"/>
  <c r="X21" i="11" s="1"/>
  <c r="C22" i="11"/>
  <c r="K21" i="11"/>
  <c r="R21" i="11" s="1"/>
  <c r="T21" i="11" s="1"/>
  <c r="M21" i="11"/>
  <c r="W21" i="11" s="1"/>
  <c r="P21" i="11"/>
  <c r="D14" i="10"/>
  <c r="C15" i="10"/>
  <c r="AB20" i="11"/>
  <c r="F12" i="3"/>
  <c r="H12" i="3" s="1"/>
  <c r="J12" i="3" s="1"/>
  <c r="F13" i="4"/>
  <c r="H13" i="4" s="1"/>
  <c r="J13" i="4" s="1"/>
  <c r="C14" i="4"/>
  <c r="C15" i="4" s="1"/>
  <c r="D14" i="4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F10" i="4"/>
  <c r="H10" i="4" s="1"/>
  <c r="I10" i="4" s="1"/>
  <c r="H15" i="2"/>
  <c r="F16" i="3"/>
  <c r="H16" i="3" s="1"/>
  <c r="I16" i="3" s="1"/>
  <c r="E17" i="3"/>
  <c r="F13" i="3"/>
  <c r="H13" i="3" s="1"/>
  <c r="D18" i="3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C18" i="3"/>
  <c r="E16" i="4"/>
  <c r="N7" i="8"/>
  <c r="M40" i="8"/>
  <c r="B8" i="1" s="1"/>
  <c r="D125" i="2"/>
  <c r="D126" i="2" s="1"/>
  <c r="C125" i="2"/>
  <c r="C126" i="2" s="1"/>
  <c r="AD20" i="11" l="1"/>
  <c r="AC20" i="11"/>
  <c r="J15" i="3"/>
  <c r="D15" i="10"/>
  <c r="C16" i="10"/>
  <c r="AB21" i="11"/>
  <c r="E14" i="10"/>
  <c r="F14" i="10"/>
  <c r="N22" i="11"/>
  <c r="X22" i="11" s="1"/>
  <c r="L22" i="11"/>
  <c r="V22" i="11" s="1"/>
  <c r="K22" i="11"/>
  <c r="R22" i="11" s="1"/>
  <c r="T22" i="11" s="1"/>
  <c r="O22" i="11"/>
  <c r="Y22" i="11" s="1"/>
  <c r="M22" i="11"/>
  <c r="W22" i="11" s="1"/>
  <c r="C23" i="11"/>
  <c r="P22" i="11"/>
  <c r="I12" i="3"/>
  <c r="F11" i="4"/>
  <c r="H11" i="4" s="1"/>
  <c r="I11" i="4" s="1"/>
  <c r="F12" i="4"/>
  <c r="H12" i="4" s="1"/>
  <c r="I12" i="4" s="1"/>
  <c r="J16" i="3"/>
  <c r="J10" i="4"/>
  <c r="I13" i="4"/>
  <c r="F15" i="4"/>
  <c r="H15" i="4" s="1"/>
  <c r="I15" i="4" s="1"/>
  <c r="F14" i="4"/>
  <c r="H14" i="4" s="1"/>
  <c r="J14" i="4" s="1"/>
  <c r="J13" i="3"/>
  <c r="I13" i="3"/>
  <c r="E18" i="3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F14" i="3"/>
  <c r="H14" i="3" s="1"/>
  <c r="F17" i="3"/>
  <c r="H17" i="3" s="1"/>
  <c r="I17" i="3" s="1"/>
  <c r="C19" i="3"/>
  <c r="F18" i="3"/>
  <c r="H18" i="3" s="1"/>
  <c r="E17" i="4"/>
  <c r="C16" i="4"/>
  <c r="F16" i="4" s="1"/>
  <c r="H16" i="4" s="1"/>
  <c r="H71" i="2"/>
  <c r="H69" i="2"/>
  <c r="H67" i="2"/>
  <c r="H66" i="2"/>
  <c r="K64" i="2"/>
  <c r="A8" i="8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B9" i="2"/>
  <c r="B11" i="7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B22" i="11" l="1"/>
  <c r="AC22" i="11"/>
  <c r="AD22" i="11"/>
  <c r="E15" i="10"/>
  <c r="F15" i="10"/>
  <c r="M23" i="11"/>
  <c r="W23" i="11" s="1"/>
  <c r="O23" i="11"/>
  <c r="Y23" i="11" s="1"/>
  <c r="L23" i="11"/>
  <c r="V23" i="11" s="1"/>
  <c r="P23" i="11"/>
  <c r="K23" i="11"/>
  <c r="R23" i="11" s="1"/>
  <c r="T23" i="11" s="1"/>
  <c r="C24" i="11"/>
  <c r="N23" i="11"/>
  <c r="X23" i="11" s="1"/>
  <c r="AC21" i="11"/>
  <c r="AD21" i="11"/>
  <c r="A40" i="7"/>
  <c r="F39" i="7"/>
  <c r="G39" i="7"/>
  <c r="D16" i="10"/>
  <c r="C17" i="10"/>
  <c r="J11" i="4"/>
  <c r="J12" i="4"/>
  <c r="F22" i="7"/>
  <c r="G22" i="7"/>
  <c r="G15" i="7"/>
  <c r="F15" i="7"/>
  <c r="G23" i="7"/>
  <c r="F23" i="7"/>
  <c r="G35" i="7"/>
  <c r="F35" i="7"/>
  <c r="F12" i="7"/>
  <c r="G12" i="7"/>
  <c r="F16" i="7"/>
  <c r="G16" i="7"/>
  <c r="F20" i="7"/>
  <c r="G20" i="7"/>
  <c r="F24" i="7"/>
  <c r="G24" i="7"/>
  <c r="F28" i="7"/>
  <c r="G28" i="7"/>
  <c r="F32" i="7"/>
  <c r="G32" i="7"/>
  <c r="F36" i="7"/>
  <c r="G36" i="7"/>
  <c r="F18" i="7"/>
  <c r="G18" i="7"/>
  <c r="G11" i="7"/>
  <c r="F11" i="7"/>
  <c r="G19" i="7"/>
  <c r="F19" i="7"/>
  <c r="G31" i="7"/>
  <c r="F31" i="7"/>
  <c r="G13" i="7"/>
  <c r="F13" i="7"/>
  <c r="G17" i="7"/>
  <c r="F17" i="7"/>
  <c r="G21" i="7"/>
  <c r="F21" i="7"/>
  <c r="G25" i="7"/>
  <c r="F25" i="7"/>
  <c r="G29" i="7"/>
  <c r="F29" i="7"/>
  <c r="G33" i="7"/>
  <c r="F33" i="7"/>
  <c r="G37" i="7"/>
  <c r="F37" i="7"/>
  <c r="F26" i="7"/>
  <c r="G26" i="7"/>
  <c r="F30" i="7"/>
  <c r="G30" i="7"/>
  <c r="F34" i="7"/>
  <c r="G34" i="7"/>
  <c r="F38" i="7"/>
  <c r="G38" i="7"/>
  <c r="F14" i="7"/>
  <c r="G14" i="7"/>
  <c r="G27" i="7"/>
  <c r="F27" i="7"/>
  <c r="F10" i="7"/>
  <c r="G10" i="7"/>
  <c r="E41" i="7"/>
  <c r="B12" i="1" s="1"/>
  <c r="J15" i="4"/>
  <c r="J17" i="3"/>
  <c r="I14" i="4"/>
  <c r="N8" i="8"/>
  <c r="O8" i="8"/>
  <c r="J16" i="4"/>
  <c r="I16" i="4"/>
  <c r="I14" i="3"/>
  <c r="J14" i="3"/>
  <c r="C20" i="3"/>
  <c r="F19" i="3"/>
  <c r="H19" i="3" s="1"/>
  <c r="J18" i="3"/>
  <c r="I18" i="3"/>
  <c r="E18" i="4"/>
  <c r="C17" i="4"/>
  <c r="F17" i="4" s="1"/>
  <c r="H17" i="4" s="1"/>
  <c r="K58" i="2"/>
  <c r="I58" i="2"/>
  <c r="K70" i="2"/>
  <c r="H70" i="2"/>
  <c r="I59" i="2"/>
  <c r="K63" i="2"/>
  <c r="I63" i="2"/>
  <c r="K67" i="2"/>
  <c r="K71" i="2"/>
  <c r="K54" i="2"/>
  <c r="K62" i="2"/>
  <c r="H62" i="2"/>
  <c r="K66" i="2"/>
  <c r="K60" i="2"/>
  <c r="I60" i="2"/>
  <c r="K68" i="2"/>
  <c r="H68" i="2"/>
  <c r="K72" i="2"/>
  <c r="H72" i="2"/>
  <c r="B10" i="2"/>
  <c r="B11" i="2" s="1"/>
  <c r="J9" i="2"/>
  <c r="I9" i="2"/>
  <c r="K61" i="2"/>
  <c r="I61" i="2"/>
  <c r="H65" i="2"/>
  <c r="K69" i="2"/>
  <c r="A9" i="8"/>
  <c r="C9" i="8" s="1"/>
  <c r="D8" i="8"/>
  <c r="K65" i="2"/>
  <c r="B40" i="8"/>
  <c r="C7" i="8"/>
  <c r="C8" i="8"/>
  <c r="AB23" i="11" l="1"/>
  <c r="D17" i="10"/>
  <c r="C18" i="10"/>
  <c r="F16" i="10"/>
  <c r="E16" i="10"/>
  <c r="P24" i="11"/>
  <c r="K24" i="11"/>
  <c r="R24" i="11" s="1"/>
  <c r="T24" i="11" s="1"/>
  <c r="N24" i="11"/>
  <c r="X24" i="11" s="1"/>
  <c r="M24" i="11"/>
  <c r="W24" i="11" s="1"/>
  <c r="C25" i="11"/>
  <c r="O24" i="11"/>
  <c r="Y24" i="11" s="1"/>
  <c r="L24" i="11"/>
  <c r="V24" i="11" s="1"/>
  <c r="G40" i="7"/>
  <c r="F40" i="7"/>
  <c r="F41" i="7" s="1"/>
  <c r="C12" i="1" s="1"/>
  <c r="B7" i="1"/>
  <c r="B9" i="1" s="1"/>
  <c r="F40" i="8"/>
  <c r="I74" i="2"/>
  <c r="H74" i="2"/>
  <c r="K55" i="2" s="1"/>
  <c r="G41" i="7"/>
  <c r="H10" i="2"/>
  <c r="J10" i="2" s="1"/>
  <c r="O9" i="8"/>
  <c r="N9" i="8"/>
  <c r="I17" i="4"/>
  <c r="J17" i="4"/>
  <c r="F20" i="3"/>
  <c r="H20" i="3" s="1"/>
  <c r="C21" i="3"/>
  <c r="J19" i="3"/>
  <c r="I19" i="3"/>
  <c r="E19" i="4"/>
  <c r="C18" i="4"/>
  <c r="F18" i="4" s="1"/>
  <c r="H18" i="4" s="1"/>
  <c r="B12" i="2"/>
  <c r="A10" i="8"/>
  <c r="D9" i="8"/>
  <c r="G40" i="8" l="1"/>
  <c r="C18" i="1" s="1"/>
  <c r="B18" i="1"/>
  <c r="AC23" i="11"/>
  <c r="AD23" i="11"/>
  <c r="AB24" i="11"/>
  <c r="D18" i="10"/>
  <c r="C19" i="10"/>
  <c r="O25" i="11"/>
  <c r="Y25" i="11" s="1"/>
  <c r="M25" i="11"/>
  <c r="W25" i="11" s="1"/>
  <c r="C26" i="11"/>
  <c r="P25" i="11"/>
  <c r="K25" i="11"/>
  <c r="R25" i="11" s="1"/>
  <c r="T25" i="11" s="1"/>
  <c r="AB25" i="11" s="1"/>
  <c r="L25" i="11"/>
  <c r="V25" i="11" s="1"/>
  <c r="N25" i="11"/>
  <c r="X25" i="11" s="1"/>
  <c r="E17" i="10"/>
  <c r="F17" i="10"/>
  <c r="I10" i="2"/>
  <c r="O10" i="8"/>
  <c r="N10" i="8"/>
  <c r="I18" i="4"/>
  <c r="J18" i="4"/>
  <c r="F21" i="3"/>
  <c r="H21" i="3" s="1"/>
  <c r="C22" i="3"/>
  <c r="J20" i="3"/>
  <c r="I20" i="3"/>
  <c r="E20" i="4"/>
  <c r="C19" i="4"/>
  <c r="F19" i="4" s="1"/>
  <c r="H19" i="4" s="1"/>
  <c r="K57" i="2"/>
  <c r="K56" i="2"/>
  <c r="B13" i="2"/>
  <c r="D10" i="8"/>
  <c r="C10" i="8"/>
  <c r="A11" i="8"/>
  <c r="D19" i="10" l="1"/>
  <c r="C20" i="10"/>
  <c r="N26" i="11"/>
  <c r="X26" i="11" s="1"/>
  <c r="L26" i="11"/>
  <c r="V26" i="11" s="1"/>
  <c r="K26" i="11"/>
  <c r="R26" i="11" s="1"/>
  <c r="T26" i="11" s="1"/>
  <c r="O26" i="11"/>
  <c r="Y26" i="11" s="1"/>
  <c r="C27" i="11"/>
  <c r="M26" i="11"/>
  <c r="W26" i="11" s="1"/>
  <c r="P26" i="11"/>
  <c r="E18" i="10"/>
  <c r="F18" i="10"/>
  <c r="AC24" i="11"/>
  <c r="AD24" i="11"/>
  <c r="O11" i="8"/>
  <c r="N11" i="8"/>
  <c r="J19" i="4"/>
  <c r="I19" i="4"/>
  <c r="C23" i="3"/>
  <c r="F22" i="3"/>
  <c r="H22" i="3" s="1"/>
  <c r="I21" i="3"/>
  <c r="J21" i="3"/>
  <c r="E21" i="4"/>
  <c r="C20" i="4"/>
  <c r="F20" i="4" s="1"/>
  <c r="H20" i="4" s="1"/>
  <c r="K73" i="2"/>
  <c r="K74" i="2" s="1"/>
  <c r="C11" i="2" s="1"/>
  <c r="C12" i="2" s="1"/>
  <c r="C13" i="2" s="1"/>
  <c r="B14" i="2"/>
  <c r="D11" i="8"/>
  <c r="C11" i="8"/>
  <c r="A12" i="8"/>
  <c r="AC25" i="11" l="1"/>
  <c r="AD25" i="11"/>
  <c r="M27" i="11"/>
  <c r="W27" i="11" s="1"/>
  <c r="O27" i="11"/>
  <c r="Y27" i="11" s="1"/>
  <c r="C28" i="11"/>
  <c r="L27" i="11"/>
  <c r="V27" i="11" s="1"/>
  <c r="N27" i="11"/>
  <c r="X27" i="11" s="1"/>
  <c r="K27" i="11"/>
  <c r="R27" i="11" s="1"/>
  <c r="T27" i="11" s="1"/>
  <c r="P27" i="11"/>
  <c r="D20" i="10"/>
  <c r="C21" i="10"/>
  <c r="AB26" i="11"/>
  <c r="F19" i="10"/>
  <c r="E19" i="10"/>
  <c r="H11" i="2"/>
  <c r="H14" i="2"/>
  <c r="I14" i="2" s="1"/>
  <c r="N12" i="8"/>
  <c r="O12" i="8"/>
  <c r="J20" i="4"/>
  <c r="I20" i="4"/>
  <c r="F23" i="3"/>
  <c r="H23" i="3" s="1"/>
  <c r="C24" i="3"/>
  <c r="J22" i="3"/>
  <c r="I22" i="3"/>
  <c r="E22" i="4"/>
  <c r="C21" i="4"/>
  <c r="F21" i="4" s="1"/>
  <c r="H21" i="4" s="1"/>
  <c r="B15" i="2"/>
  <c r="D12" i="8"/>
  <c r="C12" i="8"/>
  <c r="A13" i="8"/>
  <c r="AB27" i="11" l="1"/>
  <c r="AD27" i="11" s="1"/>
  <c r="AC26" i="11"/>
  <c r="AD26" i="11"/>
  <c r="D21" i="10"/>
  <c r="C22" i="10"/>
  <c r="E20" i="10"/>
  <c r="F20" i="10"/>
  <c r="P28" i="11"/>
  <c r="N28" i="11"/>
  <c r="X28" i="11" s="1"/>
  <c r="C29" i="11"/>
  <c r="M28" i="11"/>
  <c r="W28" i="11" s="1"/>
  <c r="K28" i="11"/>
  <c r="R28" i="11" s="1"/>
  <c r="T28" i="11" s="1"/>
  <c r="L28" i="11"/>
  <c r="V28" i="11" s="1"/>
  <c r="O28" i="11"/>
  <c r="Y28" i="11" s="1"/>
  <c r="J14" i="2"/>
  <c r="C40" i="2"/>
  <c r="J11" i="2"/>
  <c r="I11" i="2"/>
  <c r="N13" i="8"/>
  <c r="O13" i="8"/>
  <c r="J21" i="4"/>
  <c r="I21" i="4"/>
  <c r="C25" i="3"/>
  <c r="F24" i="3"/>
  <c r="H24" i="3" s="1"/>
  <c r="J23" i="3"/>
  <c r="I23" i="3"/>
  <c r="E23" i="4"/>
  <c r="C22" i="4"/>
  <c r="F22" i="4" s="1"/>
  <c r="H22" i="4" s="1"/>
  <c r="B16" i="2"/>
  <c r="J15" i="2"/>
  <c r="I15" i="2"/>
  <c r="D13" i="8"/>
  <c r="C13" i="8"/>
  <c r="A14" i="8"/>
  <c r="AC27" i="11" l="1"/>
  <c r="O29" i="11"/>
  <c r="Y29" i="11" s="1"/>
  <c r="L29" i="11"/>
  <c r="V29" i="11" s="1"/>
  <c r="M29" i="11"/>
  <c r="W29" i="11" s="1"/>
  <c r="C30" i="11"/>
  <c r="N29" i="11"/>
  <c r="X29" i="11" s="1"/>
  <c r="K29" i="11"/>
  <c r="R29" i="11" s="1"/>
  <c r="T29" i="11" s="1"/>
  <c r="P29" i="11"/>
  <c r="D22" i="10"/>
  <c r="C23" i="10"/>
  <c r="AB28" i="11"/>
  <c r="E21" i="10"/>
  <c r="F21" i="10"/>
  <c r="O14" i="8"/>
  <c r="N14" i="8"/>
  <c r="I22" i="4"/>
  <c r="J22" i="4"/>
  <c r="C26" i="3"/>
  <c r="F25" i="3"/>
  <c r="H25" i="3" s="1"/>
  <c r="J24" i="3"/>
  <c r="I24" i="3"/>
  <c r="E24" i="4"/>
  <c r="C23" i="4"/>
  <c r="F23" i="4" s="1"/>
  <c r="H23" i="4" s="1"/>
  <c r="B17" i="2"/>
  <c r="I16" i="2"/>
  <c r="J16" i="2"/>
  <c r="D14" i="8"/>
  <c r="C14" i="8"/>
  <c r="A15" i="8"/>
  <c r="AB29" i="11" l="1"/>
  <c r="AC29" i="11" s="1"/>
  <c r="F22" i="10"/>
  <c r="E22" i="10"/>
  <c r="N30" i="11"/>
  <c r="X30" i="11" s="1"/>
  <c r="L30" i="11"/>
  <c r="V30" i="11" s="1"/>
  <c r="K30" i="11"/>
  <c r="R30" i="11" s="1"/>
  <c r="T30" i="11" s="1"/>
  <c r="M30" i="11"/>
  <c r="W30" i="11" s="1"/>
  <c r="O30" i="11"/>
  <c r="Y30" i="11" s="1"/>
  <c r="C31" i="11"/>
  <c r="P30" i="11"/>
  <c r="AD28" i="11"/>
  <c r="AC28" i="11"/>
  <c r="D23" i="10"/>
  <c r="C24" i="10"/>
  <c r="N15" i="8"/>
  <c r="O15" i="8"/>
  <c r="J23" i="4"/>
  <c r="I23" i="4"/>
  <c r="C27" i="3"/>
  <c r="F26" i="3"/>
  <c r="H26" i="3" s="1"/>
  <c r="I25" i="3"/>
  <c r="J25" i="3"/>
  <c r="E25" i="4"/>
  <c r="C24" i="4"/>
  <c r="F24" i="4" s="1"/>
  <c r="H24" i="4" s="1"/>
  <c r="B18" i="2"/>
  <c r="I17" i="2"/>
  <c r="J17" i="2"/>
  <c r="D15" i="8"/>
  <c r="C15" i="8"/>
  <c r="A16" i="8"/>
  <c r="AD29" i="11" l="1"/>
  <c r="D24" i="10"/>
  <c r="C25" i="10"/>
  <c r="M31" i="11"/>
  <c r="W31" i="11" s="1"/>
  <c r="O31" i="11"/>
  <c r="Y31" i="11" s="1"/>
  <c r="P31" i="11"/>
  <c r="C32" i="11"/>
  <c r="L31" i="11"/>
  <c r="V31" i="11" s="1"/>
  <c r="N31" i="11"/>
  <c r="X31" i="11" s="1"/>
  <c r="K31" i="11"/>
  <c r="R31" i="11" s="1"/>
  <c r="T31" i="11" s="1"/>
  <c r="E23" i="10"/>
  <c r="F23" i="10"/>
  <c r="AB30" i="11"/>
  <c r="O16" i="8"/>
  <c r="N16" i="8"/>
  <c r="J24" i="4"/>
  <c r="I24" i="4"/>
  <c r="C28" i="3"/>
  <c r="F27" i="3"/>
  <c r="H27" i="3" s="1"/>
  <c r="J26" i="3"/>
  <c r="I26" i="3"/>
  <c r="E26" i="4"/>
  <c r="C25" i="4"/>
  <c r="F25" i="4" s="1"/>
  <c r="H25" i="4" s="1"/>
  <c r="B19" i="2"/>
  <c r="I18" i="2"/>
  <c r="J18" i="2"/>
  <c r="D16" i="8"/>
  <c r="A17" i="8"/>
  <c r="C16" i="8"/>
  <c r="AC30" i="11" l="1"/>
  <c r="AD30" i="11"/>
  <c r="P32" i="11"/>
  <c r="M32" i="11"/>
  <c r="W32" i="11" s="1"/>
  <c r="K32" i="11"/>
  <c r="R32" i="11" s="1"/>
  <c r="T32" i="11" s="1"/>
  <c r="O32" i="11"/>
  <c r="Y32" i="11" s="1"/>
  <c r="L32" i="11"/>
  <c r="V32" i="11" s="1"/>
  <c r="N32" i="11"/>
  <c r="X32" i="11" s="1"/>
  <c r="C33" i="11"/>
  <c r="D25" i="10"/>
  <c r="C26" i="10"/>
  <c r="AB31" i="11"/>
  <c r="F24" i="10"/>
  <c r="E24" i="10"/>
  <c r="N17" i="8"/>
  <c r="O17" i="8"/>
  <c r="J25" i="4"/>
  <c r="I25" i="4"/>
  <c r="F28" i="3"/>
  <c r="H28" i="3" s="1"/>
  <c r="C29" i="3"/>
  <c r="I27" i="3"/>
  <c r="J27" i="3"/>
  <c r="E27" i="4"/>
  <c r="C26" i="4"/>
  <c r="F26" i="4" s="1"/>
  <c r="H26" i="4" s="1"/>
  <c r="B20" i="2"/>
  <c r="J19" i="2"/>
  <c r="I19" i="2"/>
  <c r="D17" i="8"/>
  <c r="C17" i="8"/>
  <c r="A18" i="8"/>
  <c r="AC31" i="11" l="1"/>
  <c r="AD31" i="11"/>
  <c r="D26" i="10"/>
  <c r="C27" i="10"/>
  <c r="E25" i="10"/>
  <c r="F25" i="10"/>
  <c r="O33" i="11"/>
  <c r="Y33" i="11" s="1"/>
  <c r="M33" i="11"/>
  <c r="W33" i="11" s="1"/>
  <c r="C34" i="11"/>
  <c r="L33" i="11"/>
  <c r="V33" i="11" s="1"/>
  <c r="K33" i="11"/>
  <c r="R33" i="11" s="1"/>
  <c r="T33" i="11" s="1"/>
  <c r="P33" i="11"/>
  <c r="N33" i="11"/>
  <c r="X33" i="11" s="1"/>
  <c r="AB32" i="11"/>
  <c r="N18" i="8"/>
  <c r="O18" i="8"/>
  <c r="I26" i="4"/>
  <c r="J26" i="4"/>
  <c r="C30" i="3"/>
  <c r="F29" i="3"/>
  <c r="H29" i="3" s="1"/>
  <c r="J28" i="3"/>
  <c r="I28" i="3"/>
  <c r="E28" i="4"/>
  <c r="C27" i="4"/>
  <c r="F27" i="4" s="1"/>
  <c r="H27" i="4" s="1"/>
  <c r="B21" i="2"/>
  <c r="I20" i="2"/>
  <c r="J20" i="2"/>
  <c r="D18" i="8"/>
  <c r="C18" i="8"/>
  <c r="A19" i="8"/>
  <c r="D27" i="10" l="1"/>
  <c r="C28" i="10"/>
  <c r="AB33" i="11"/>
  <c r="F26" i="10"/>
  <c r="E26" i="10"/>
  <c r="AD32" i="11"/>
  <c r="AC32" i="11"/>
  <c r="K34" i="11"/>
  <c r="R34" i="11" s="1"/>
  <c r="T34" i="11" s="1"/>
  <c r="O34" i="11"/>
  <c r="Y34" i="11" s="1"/>
  <c r="N34" i="11"/>
  <c r="X34" i="11" s="1"/>
  <c r="C35" i="11"/>
  <c r="M34" i="11"/>
  <c r="W34" i="11" s="1"/>
  <c r="P34" i="11"/>
  <c r="L34" i="11"/>
  <c r="V34" i="11" s="1"/>
  <c r="O19" i="8"/>
  <c r="N19" i="8"/>
  <c r="J27" i="4"/>
  <c r="I27" i="4"/>
  <c r="C31" i="3"/>
  <c r="F30" i="3"/>
  <c r="H30" i="3" s="1"/>
  <c r="J29" i="3"/>
  <c r="I29" i="3"/>
  <c r="E29" i="4"/>
  <c r="C28" i="4"/>
  <c r="F28" i="4" s="1"/>
  <c r="H28" i="4" s="1"/>
  <c r="B22" i="2"/>
  <c r="I21" i="2"/>
  <c r="J21" i="2"/>
  <c r="D19" i="8"/>
  <c r="C19" i="8"/>
  <c r="A20" i="8"/>
  <c r="AB34" i="11" l="1"/>
  <c r="M35" i="11"/>
  <c r="W35" i="11" s="1"/>
  <c r="K35" i="11"/>
  <c r="R35" i="11" s="1"/>
  <c r="T35" i="11" s="1"/>
  <c r="C36" i="11"/>
  <c r="P35" i="11"/>
  <c r="N35" i="11"/>
  <c r="X35" i="11" s="1"/>
  <c r="L35" i="11"/>
  <c r="V35" i="11" s="1"/>
  <c r="O35" i="11"/>
  <c r="Y35" i="11" s="1"/>
  <c r="AD33" i="11"/>
  <c r="AC33" i="11"/>
  <c r="D28" i="10"/>
  <c r="C29" i="10"/>
  <c r="E27" i="10"/>
  <c r="F27" i="10"/>
  <c r="O20" i="8"/>
  <c r="N20" i="8"/>
  <c r="J28" i="4"/>
  <c r="I28" i="4"/>
  <c r="C32" i="3"/>
  <c r="F31" i="3"/>
  <c r="H31" i="3" s="1"/>
  <c r="I30" i="3"/>
  <c r="J30" i="3"/>
  <c r="E30" i="4"/>
  <c r="C29" i="4"/>
  <c r="F29" i="4" s="1"/>
  <c r="H29" i="4" s="1"/>
  <c r="B23" i="2"/>
  <c r="I22" i="2"/>
  <c r="J22" i="2"/>
  <c r="D20" i="8"/>
  <c r="C20" i="8"/>
  <c r="A21" i="8"/>
  <c r="P36" i="11" l="1"/>
  <c r="N36" i="11"/>
  <c r="X36" i="11" s="1"/>
  <c r="L36" i="11"/>
  <c r="V36" i="11" s="1"/>
  <c r="M36" i="11"/>
  <c r="W36" i="11" s="1"/>
  <c r="O36" i="11"/>
  <c r="Y36" i="11" s="1"/>
  <c r="K36" i="11"/>
  <c r="R36" i="11" s="1"/>
  <c r="T36" i="11" s="1"/>
  <c r="C37" i="11"/>
  <c r="F28" i="10"/>
  <c r="E28" i="10"/>
  <c r="AB35" i="11"/>
  <c r="D29" i="10"/>
  <c r="C30" i="10"/>
  <c r="AD34" i="11"/>
  <c r="AC34" i="11"/>
  <c r="N21" i="8"/>
  <c r="O21" i="8"/>
  <c r="J29" i="4"/>
  <c r="I29" i="4"/>
  <c r="F32" i="3"/>
  <c r="H32" i="3" s="1"/>
  <c r="C33" i="3"/>
  <c r="J31" i="3"/>
  <c r="I31" i="3"/>
  <c r="E31" i="4"/>
  <c r="C30" i="4"/>
  <c r="F30" i="4" s="1"/>
  <c r="H30" i="4" s="1"/>
  <c r="B24" i="2"/>
  <c r="J23" i="2"/>
  <c r="I23" i="2"/>
  <c r="D21" i="8"/>
  <c r="C21" i="8"/>
  <c r="A22" i="8"/>
  <c r="D30" i="10" l="1"/>
  <c r="C31" i="10"/>
  <c r="E29" i="10"/>
  <c r="F29" i="10"/>
  <c r="O37" i="11"/>
  <c r="Y37" i="11" s="1"/>
  <c r="P37" i="11"/>
  <c r="C38" i="11"/>
  <c r="K37" i="11"/>
  <c r="R37" i="11" s="1"/>
  <c r="T37" i="11" s="1"/>
  <c r="M37" i="11"/>
  <c r="W37" i="11" s="1"/>
  <c r="L37" i="11"/>
  <c r="V37" i="11" s="1"/>
  <c r="N37" i="11"/>
  <c r="X37" i="11" s="1"/>
  <c r="AB36" i="11"/>
  <c r="AC35" i="11"/>
  <c r="AD35" i="11"/>
  <c r="N22" i="8"/>
  <c r="O22" i="8"/>
  <c r="I30" i="4"/>
  <c r="J30" i="4"/>
  <c r="C34" i="3"/>
  <c r="F33" i="3"/>
  <c r="H33" i="3" s="1"/>
  <c r="J32" i="3"/>
  <c r="I32" i="3"/>
  <c r="E32" i="4"/>
  <c r="C31" i="4"/>
  <c r="F31" i="4" s="1"/>
  <c r="H31" i="4" s="1"/>
  <c r="B25" i="2"/>
  <c r="I24" i="2"/>
  <c r="J24" i="2"/>
  <c r="D22" i="8"/>
  <c r="C22" i="8"/>
  <c r="A23" i="8"/>
  <c r="AB37" i="11" l="1"/>
  <c r="AD37" i="11" s="1"/>
  <c r="N38" i="11"/>
  <c r="X38" i="11" s="1"/>
  <c r="L38" i="11"/>
  <c r="V38" i="11" s="1"/>
  <c r="K38" i="11"/>
  <c r="R38" i="11" s="1"/>
  <c r="T38" i="11" s="1"/>
  <c r="O38" i="11"/>
  <c r="Y38" i="11" s="1"/>
  <c r="C39" i="11"/>
  <c r="M38" i="11"/>
  <c r="W38" i="11" s="1"/>
  <c r="P38" i="11"/>
  <c r="D31" i="10"/>
  <c r="C32" i="10"/>
  <c r="AC36" i="11"/>
  <c r="AD36" i="11"/>
  <c r="F30" i="10"/>
  <c r="E30" i="10"/>
  <c r="O23" i="8"/>
  <c r="N23" i="8"/>
  <c r="J31" i="4"/>
  <c r="I31" i="4"/>
  <c r="F34" i="3"/>
  <c r="H34" i="3" s="1"/>
  <c r="C35" i="3"/>
  <c r="J33" i="3"/>
  <c r="I33" i="3"/>
  <c r="E33" i="4"/>
  <c r="C32" i="4"/>
  <c r="F32" i="4" s="1"/>
  <c r="H32" i="4" s="1"/>
  <c r="B26" i="2"/>
  <c r="I25" i="2"/>
  <c r="J25" i="2"/>
  <c r="D23" i="8"/>
  <c r="C23" i="8"/>
  <c r="A24" i="8"/>
  <c r="AC37" i="11" l="1"/>
  <c r="D32" i="10"/>
  <c r="C33" i="10"/>
  <c r="M39" i="11"/>
  <c r="W39" i="11" s="1"/>
  <c r="K39" i="11"/>
  <c r="R39" i="11" s="1"/>
  <c r="T39" i="11" s="1"/>
  <c r="P39" i="11"/>
  <c r="N39" i="11"/>
  <c r="X39" i="11" s="1"/>
  <c r="C40" i="11"/>
  <c r="O39" i="11"/>
  <c r="Y39" i="11" s="1"/>
  <c r="L39" i="11"/>
  <c r="V39" i="11" s="1"/>
  <c r="E31" i="10"/>
  <c r="F31" i="10"/>
  <c r="AB38" i="11"/>
  <c r="O24" i="8"/>
  <c r="N24" i="8"/>
  <c r="J32" i="4"/>
  <c r="I32" i="4"/>
  <c r="C36" i="3"/>
  <c r="F35" i="3"/>
  <c r="H35" i="3" s="1"/>
  <c r="I34" i="3"/>
  <c r="J34" i="3"/>
  <c r="E34" i="4"/>
  <c r="C33" i="4"/>
  <c r="F33" i="4" s="1"/>
  <c r="H33" i="4" s="1"/>
  <c r="B27" i="2"/>
  <c r="I26" i="2"/>
  <c r="J26" i="2"/>
  <c r="D24" i="8"/>
  <c r="C24" i="8"/>
  <c r="A25" i="8"/>
  <c r="AB39" i="11" l="1"/>
  <c r="AC39" i="11" s="1"/>
  <c r="P40" i="11"/>
  <c r="N40" i="11"/>
  <c r="X40" i="11" s="1"/>
  <c r="L40" i="11"/>
  <c r="V40" i="11" s="1"/>
  <c r="M40" i="11"/>
  <c r="W40" i="11" s="1"/>
  <c r="O40" i="11"/>
  <c r="Y40" i="11" s="1"/>
  <c r="C41" i="11"/>
  <c r="K40" i="11"/>
  <c r="R40" i="11" s="1"/>
  <c r="T40" i="11" s="1"/>
  <c r="D33" i="10"/>
  <c r="C34" i="10"/>
  <c r="AC38" i="11"/>
  <c r="AD38" i="11"/>
  <c r="F32" i="10"/>
  <c r="E32" i="10"/>
  <c r="O25" i="8"/>
  <c r="N25" i="8"/>
  <c r="I33" i="4"/>
  <c r="J33" i="4"/>
  <c r="F36" i="3"/>
  <c r="H36" i="3" s="1"/>
  <c r="C37" i="3"/>
  <c r="J35" i="3"/>
  <c r="I35" i="3"/>
  <c r="E35" i="4"/>
  <c r="C34" i="4"/>
  <c r="F34" i="4" s="1"/>
  <c r="H34" i="4" s="1"/>
  <c r="B28" i="2"/>
  <c r="J27" i="2"/>
  <c r="I27" i="2"/>
  <c r="D25" i="8"/>
  <c r="C25" i="8"/>
  <c r="A26" i="8"/>
  <c r="AD39" i="11" l="1"/>
  <c r="D34" i="10"/>
  <c r="C35" i="10"/>
  <c r="O41" i="11"/>
  <c r="Y41" i="11" s="1"/>
  <c r="P41" i="11"/>
  <c r="C42" i="11"/>
  <c r="K41" i="11"/>
  <c r="R41" i="11" s="1"/>
  <c r="T41" i="11" s="1"/>
  <c r="L41" i="11"/>
  <c r="V41" i="11" s="1"/>
  <c r="M41" i="11"/>
  <c r="W41" i="11" s="1"/>
  <c r="N41" i="11"/>
  <c r="X41" i="11" s="1"/>
  <c r="E33" i="10"/>
  <c r="F33" i="10"/>
  <c r="AB40" i="11"/>
  <c r="O26" i="8"/>
  <c r="N26" i="8"/>
  <c r="I34" i="4"/>
  <c r="J34" i="4"/>
  <c r="C38" i="3"/>
  <c r="F37" i="3"/>
  <c r="H37" i="3" s="1"/>
  <c r="J36" i="3"/>
  <c r="I36" i="3"/>
  <c r="E36" i="4"/>
  <c r="C35" i="4"/>
  <c r="F35" i="4" s="1"/>
  <c r="H35" i="4" s="1"/>
  <c r="B29" i="2"/>
  <c r="I28" i="2"/>
  <c r="J28" i="2"/>
  <c r="D26" i="8"/>
  <c r="C26" i="8"/>
  <c r="A27" i="8"/>
  <c r="AB41" i="11" l="1"/>
  <c r="D35" i="10"/>
  <c r="C36" i="10"/>
  <c r="AC40" i="11"/>
  <c r="AD40" i="11"/>
  <c r="N42" i="11"/>
  <c r="X42" i="11" s="1"/>
  <c r="O42" i="11"/>
  <c r="Y42" i="11" s="1"/>
  <c r="C43" i="11"/>
  <c r="P42" i="11"/>
  <c r="L42" i="11"/>
  <c r="V42" i="11" s="1"/>
  <c r="M42" i="11"/>
  <c r="W42" i="11" s="1"/>
  <c r="K42" i="11"/>
  <c r="R42" i="11" s="1"/>
  <c r="T42" i="11" s="1"/>
  <c r="F34" i="10"/>
  <c r="E34" i="10"/>
  <c r="O27" i="8"/>
  <c r="N27" i="8"/>
  <c r="J35" i="4"/>
  <c r="I35" i="4"/>
  <c r="C39" i="3"/>
  <c r="F38" i="3"/>
  <c r="H38" i="3" s="1"/>
  <c r="I37" i="3"/>
  <c r="J37" i="3"/>
  <c r="E37" i="4"/>
  <c r="C36" i="4"/>
  <c r="F36" i="4" s="1"/>
  <c r="H36" i="4" s="1"/>
  <c r="B30" i="2"/>
  <c r="I29" i="2"/>
  <c r="J29" i="2"/>
  <c r="D27" i="8"/>
  <c r="C27" i="8"/>
  <c r="A28" i="8"/>
  <c r="AB42" i="11" l="1"/>
  <c r="AD42" i="11" s="1"/>
  <c r="D36" i="10"/>
  <c r="C37" i="10"/>
  <c r="E35" i="10"/>
  <c r="F35" i="10"/>
  <c r="L43" i="11"/>
  <c r="V43" i="11" s="1"/>
  <c r="O43" i="11"/>
  <c r="Y43" i="11" s="1"/>
  <c r="M43" i="11"/>
  <c r="W43" i="11" s="1"/>
  <c r="K43" i="11"/>
  <c r="R43" i="11" s="1"/>
  <c r="T43" i="11" s="1"/>
  <c r="C44" i="11"/>
  <c r="P43" i="11"/>
  <c r="N43" i="11"/>
  <c r="X43" i="11" s="1"/>
  <c r="AD41" i="11"/>
  <c r="AC41" i="11"/>
  <c r="N28" i="8"/>
  <c r="O28" i="8"/>
  <c r="J36" i="4"/>
  <c r="I36" i="4"/>
  <c r="C40" i="3"/>
  <c r="C41" i="3" s="1"/>
  <c r="F41" i="3" s="1"/>
  <c r="F39" i="3"/>
  <c r="H39" i="3" s="1"/>
  <c r="J38" i="3"/>
  <c r="I38" i="3"/>
  <c r="E38" i="4"/>
  <c r="E39" i="4" s="1"/>
  <c r="E40" i="4" s="1"/>
  <c r="C37" i="4"/>
  <c r="F37" i="4" s="1"/>
  <c r="H37" i="4" s="1"/>
  <c r="B31" i="2"/>
  <c r="I30" i="2"/>
  <c r="J30" i="2"/>
  <c r="D28" i="8"/>
  <c r="C28" i="8"/>
  <c r="A29" i="8"/>
  <c r="AC42" i="11" l="1"/>
  <c r="D37" i="10"/>
  <c r="C38" i="10"/>
  <c r="P44" i="11"/>
  <c r="N44" i="11"/>
  <c r="X44" i="11" s="1"/>
  <c r="C45" i="11"/>
  <c r="L44" i="11"/>
  <c r="V44" i="11" s="1"/>
  <c r="M44" i="11"/>
  <c r="W44" i="11" s="1"/>
  <c r="O44" i="11"/>
  <c r="Y44" i="11" s="1"/>
  <c r="K44" i="11"/>
  <c r="R44" i="11" s="1"/>
  <c r="T44" i="11" s="1"/>
  <c r="F36" i="10"/>
  <c r="E36" i="10"/>
  <c r="H41" i="3"/>
  <c r="C42" i="3"/>
  <c r="F42" i="3" s="1"/>
  <c r="H42" i="3" s="1"/>
  <c r="AB43" i="11"/>
  <c r="N29" i="8"/>
  <c r="O29" i="8"/>
  <c r="J37" i="4"/>
  <c r="I37" i="4"/>
  <c r="F40" i="3"/>
  <c r="H40" i="3" s="1"/>
  <c r="J39" i="3"/>
  <c r="I39" i="3"/>
  <c r="C38" i="4"/>
  <c r="B32" i="2"/>
  <c r="I31" i="2"/>
  <c r="J31" i="2"/>
  <c r="D29" i="8"/>
  <c r="C29" i="8"/>
  <c r="A30" i="8"/>
  <c r="AD43" i="11" l="1"/>
  <c r="AC43" i="11"/>
  <c r="D38" i="10"/>
  <c r="C39" i="10"/>
  <c r="J41" i="3"/>
  <c r="I41" i="3"/>
  <c r="J42" i="3"/>
  <c r="I42" i="3"/>
  <c r="AB44" i="11"/>
  <c r="M45" i="11"/>
  <c r="W45" i="11" s="1"/>
  <c r="O45" i="11"/>
  <c r="Y45" i="11" s="1"/>
  <c r="P45" i="11"/>
  <c r="K45" i="11"/>
  <c r="R45" i="11" s="1"/>
  <c r="T45" i="11" s="1"/>
  <c r="L45" i="11"/>
  <c r="V45" i="11" s="1"/>
  <c r="N45" i="11"/>
  <c r="X45" i="11" s="1"/>
  <c r="C46" i="11"/>
  <c r="E37" i="10"/>
  <c r="F37" i="10"/>
  <c r="F38" i="4"/>
  <c r="H38" i="4" s="1"/>
  <c r="J38" i="4" s="1"/>
  <c r="C39" i="4"/>
  <c r="O30" i="8"/>
  <c r="N30" i="8"/>
  <c r="H43" i="3"/>
  <c r="B15" i="1" s="1"/>
  <c r="J40" i="3"/>
  <c r="I40" i="3"/>
  <c r="B33" i="2"/>
  <c r="I32" i="2"/>
  <c r="J32" i="2"/>
  <c r="D30" i="8"/>
  <c r="C30" i="8"/>
  <c r="A31" i="8"/>
  <c r="E38" i="10" l="1"/>
  <c r="F38" i="10"/>
  <c r="N46" i="11"/>
  <c r="X46" i="11" s="1"/>
  <c r="L46" i="11"/>
  <c r="V46" i="11" s="1"/>
  <c r="M46" i="11"/>
  <c r="W46" i="11" s="1"/>
  <c r="O46" i="11"/>
  <c r="Y46" i="11" s="1"/>
  <c r="K46" i="11"/>
  <c r="R46" i="11" s="1"/>
  <c r="T46" i="11" s="1"/>
  <c r="P46" i="11"/>
  <c r="C47" i="11"/>
  <c r="D39" i="10"/>
  <c r="C40" i="10"/>
  <c r="D40" i="10" s="1"/>
  <c r="AB45" i="11"/>
  <c r="AC44" i="11"/>
  <c r="AD44" i="11"/>
  <c r="I38" i="4"/>
  <c r="C40" i="4"/>
  <c r="F40" i="4" s="1"/>
  <c r="H40" i="4" s="1"/>
  <c r="H41" i="4" s="1"/>
  <c r="B14" i="1" s="1"/>
  <c r="F39" i="4"/>
  <c r="H39" i="4" s="1"/>
  <c r="O31" i="8"/>
  <c r="N31" i="8"/>
  <c r="J43" i="3"/>
  <c r="I43" i="3"/>
  <c r="C15" i="1" s="1"/>
  <c r="B34" i="2"/>
  <c r="J33" i="2"/>
  <c r="I33" i="2"/>
  <c r="D31" i="8"/>
  <c r="C31" i="8"/>
  <c r="A32" i="8"/>
  <c r="E40" i="10" l="1"/>
  <c r="F40" i="10"/>
  <c r="D42" i="10"/>
  <c r="B16" i="1" s="1"/>
  <c r="AB46" i="11"/>
  <c r="F39" i="10"/>
  <c r="E39" i="10"/>
  <c r="AC45" i="11"/>
  <c r="AD45" i="11"/>
  <c r="O47" i="11"/>
  <c r="Y47" i="11" s="1"/>
  <c r="M47" i="11"/>
  <c r="W47" i="11" s="1"/>
  <c r="K47" i="11"/>
  <c r="R47" i="11" s="1"/>
  <c r="T47" i="11" s="1"/>
  <c r="L47" i="11"/>
  <c r="V47" i="11" s="1"/>
  <c r="P47" i="11"/>
  <c r="N47" i="11"/>
  <c r="X47" i="11" s="1"/>
  <c r="J39" i="4"/>
  <c r="I39" i="4"/>
  <c r="I41" i="4" s="1"/>
  <c r="C14" i="1" s="1"/>
  <c r="I40" i="4"/>
  <c r="J40" i="4"/>
  <c r="O32" i="8"/>
  <c r="N32" i="8"/>
  <c r="B35" i="2"/>
  <c r="I34" i="2"/>
  <c r="J34" i="2"/>
  <c r="D32" i="8"/>
  <c r="C32" i="8"/>
  <c r="A33" i="8"/>
  <c r="F42" i="10" l="1"/>
  <c r="J41" i="4"/>
  <c r="AC46" i="11"/>
  <c r="AD46" i="11"/>
  <c r="AB47" i="11"/>
  <c r="E42" i="10"/>
  <c r="C16" i="1" s="1"/>
  <c r="O33" i="8"/>
  <c r="N33" i="8"/>
  <c r="B36" i="2"/>
  <c r="I35" i="2"/>
  <c r="J35" i="2"/>
  <c r="D33" i="8"/>
  <c r="C33" i="8"/>
  <c r="A34" i="8"/>
  <c r="AD47" i="11" l="1"/>
  <c r="AD49" i="11" s="1"/>
  <c r="AC47" i="11"/>
  <c r="AC49" i="11" s="1"/>
  <c r="C17" i="1" s="1"/>
  <c r="AB49" i="11"/>
  <c r="B17" i="1" s="1"/>
  <c r="O34" i="8"/>
  <c r="N34" i="8"/>
  <c r="B37" i="2"/>
  <c r="I36" i="2"/>
  <c r="J36" i="2"/>
  <c r="D34" i="8"/>
  <c r="C34" i="8"/>
  <c r="A35" i="8"/>
  <c r="O35" i="8" l="1"/>
  <c r="N35" i="8"/>
  <c r="B38" i="2"/>
  <c r="I37" i="2"/>
  <c r="J37" i="2"/>
  <c r="D35" i="8"/>
  <c r="C35" i="8"/>
  <c r="A36" i="8"/>
  <c r="N36" i="8" l="1"/>
  <c r="O36" i="8"/>
  <c r="B39" i="2"/>
  <c r="I38" i="2"/>
  <c r="J38" i="2"/>
  <c r="D36" i="8"/>
  <c r="C36" i="8"/>
  <c r="A37" i="8"/>
  <c r="N37" i="8" l="1"/>
  <c r="O37" i="8"/>
  <c r="I39" i="2"/>
  <c r="J39" i="2"/>
  <c r="D37" i="8"/>
  <c r="A38" i="8"/>
  <c r="C37" i="8"/>
  <c r="O38" i="8" l="1"/>
  <c r="N38" i="8"/>
  <c r="D38" i="8"/>
  <c r="C38" i="8"/>
  <c r="A39" i="8"/>
  <c r="N39" i="8" l="1"/>
  <c r="N40" i="8" s="1"/>
  <c r="C8" i="1" s="1"/>
  <c r="O39" i="8"/>
  <c r="O40" i="8" s="1"/>
  <c r="D39" i="8"/>
  <c r="D40" i="8" s="1"/>
  <c r="C39" i="8"/>
  <c r="C40" i="8" s="1"/>
  <c r="C7" i="1" s="1"/>
  <c r="C9" i="1" l="1"/>
  <c r="H12" i="2"/>
  <c r="D40" i="2"/>
  <c r="H13" i="2" l="1"/>
  <c r="J13" i="2" s="1"/>
  <c r="J12" i="2"/>
  <c r="I12" i="2"/>
  <c r="I13" i="2" l="1"/>
  <c r="I40" i="2" s="1"/>
  <c r="C13" i="1" s="1"/>
  <c r="C19" i="1" s="1"/>
  <c r="C22" i="1" s="1"/>
  <c r="H40" i="2"/>
  <c r="B13" i="1" s="1"/>
  <c r="B19" i="1" s="1"/>
  <c r="B22" i="1" s="1"/>
  <c r="J40" i="2"/>
  <c r="B21" i="1" l="1"/>
  <c r="C21" i="1"/>
</calcChain>
</file>

<file path=xl/sharedStrings.xml><?xml version="1.0" encoding="utf-8"?>
<sst xmlns="http://schemas.openxmlformats.org/spreadsheetml/2006/main" count="569" uniqueCount="354">
  <si>
    <t>Category</t>
  </si>
  <si>
    <t>Costs</t>
  </si>
  <si>
    <t>Construction Cost</t>
  </si>
  <si>
    <t>TOTAL COSTS</t>
  </si>
  <si>
    <t>Evaluated Benefits</t>
  </si>
  <si>
    <t>TOTAL EVALUATED BENEFITS</t>
  </si>
  <si>
    <t>NET PRESENT VALUE</t>
  </si>
  <si>
    <t>BENEFIT/COST RATIO</t>
  </si>
  <si>
    <t>Net increase in Maintenance Costs</t>
  </si>
  <si>
    <t>Flood Damage Repair Cost Savings</t>
  </si>
  <si>
    <t>BENEFIT COST ANALYSIS SUMMARY TABLE</t>
  </si>
  <si>
    <t>Property Value Growth from Building Platforms</t>
  </si>
  <si>
    <t>Years After Construction</t>
  </si>
  <si>
    <t>Year</t>
  </si>
  <si>
    <t>PROPERTY VALUE IMPACTS</t>
  </si>
  <si>
    <t>FLOOD DAMAGE</t>
  </si>
  <si>
    <t>NO BUILD</t>
  </si>
  <si>
    <t>BUILD</t>
  </si>
  <si>
    <t>Likely Annual Cost of Flood Damage Repair</t>
  </si>
  <si>
    <t>BENEFIT</t>
  </si>
  <si>
    <t>Discounted at 3%</t>
  </si>
  <si>
    <t>Discounted at 7%</t>
  </si>
  <si>
    <t>Undiscounted Savings</t>
  </si>
  <si>
    <t>TOTALS</t>
  </si>
  <si>
    <t>UNDISCOUNTED</t>
  </si>
  <si>
    <t>Properties on North Side of Third Street</t>
  </si>
  <si>
    <t>Third Street Property Values</t>
  </si>
  <si>
    <t>June 2018 Hamilton County Auditor Values</t>
  </si>
  <si>
    <t>Address</t>
  </si>
  <si>
    <t>Acres</t>
  </si>
  <si>
    <t>Land Value</t>
  </si>
  <si>
    <t>Improvement Value</t>
  </si>
  <si>
    <t>312 Elm Street</t>
  </si>
  <si>
    <t>106 W. 3rd</t>
  </si>
  <si>
    <t>38 W Third Street</t>
  </si>
  <si>
    <t>34 W Third Street</t>
  </si>
  <si>
    <t>30 W Third Street</t>
  </si>
  <si>
    <t>28 W Third Street</t>
  </si>
  <si>
    <t>25 Ogden Place</t>
  </si>
  <si>
    <t>22 W Third Street</t>
  </si>
  <si>
    <t>309 Vine Street</t>
  </si>
  <si>
    <t>2 E Third</t>
  </si>
  <si>
    <t>12 E Third Street</t>
  </si>
  <si>
    <t>18 E Third Street</t>
  </si>
  <si>
    <t>315 Third Street</t>
  </si>
  <si>
    <t>312 Walnut</t>
  </si>
  <si>
    <t>150 E Third Street</t>
  </si>
  <si>
    <t>302 E Third Street</t>
  </si>
  <si>
    <t>Notes</t>
  </si>
  <si>
    <t>20+ story office bldg</t>
  </si>
  <si>
    <t>Small ofc bldg</t>
  </si>
  <si>
    <t>Luxury Apts, renovated recently, 294 units/11 stories</t>
  </si>
  <si>
    <t>Parking lot</t>
  </si>
  <si>
    <t>Parking Structure</t>
  </si>
  <si>
    <t>Great American Insurance Group</t>
  </si>
  <si>
    <t>Short ofc/commerical</t>
  </si>
  <si>
    <t>Parking Structure (part)</t>
  </si>
  <si>
    <t>Part of Lux Apts (Alleyway access?)</t>
  </si>
  <si>
    <t>Pkg lot</t>
  </si>
  <si>
    <t>Total Value</t>
  </si>
  <si>
    <t>Current</t>
  </si>
  <si>
    <t>(No Build)</t>
  </si>
  <si>
    <t>BUILD VALUE</t>
  </si>
  <si>
    <t>(at full occupancy)</t>
  </si>
  <si>
    <t xml:space="preserve">Value Impact </t>
  </si>
  <si>
    <t>one of the 3 abandoned tenements</t>
  </si>
  <si>
    <t>SCRIPPS 20+ story office bldg</t>
  </si>
  <si>
    <t>Lot #</t>
  </si>
  <si>
    <t>Status</t>
  </si>
  <si>
    <t>Undev.</t>
  </si>
  <si>
    <t>Developed</t>
  </si>
  <si>
    <t>Use</t>
  </si>
  <si>
    <t>Square footage (base)</t>
  </si>
  <si>
    <t>Acreage</t>
  </si>
  <si>
    <t>26-1A</t>
  </si>
  <si>
    <t>26-1B</t>
  </si>
  <si>
    <t>Res &amp; Restaurant</t>
  </si>
  <si>
    <t>Rest</t>
  </si>
  <si>
    <t>Museum</t>
  </si>
  <si>
    <t>GE &amp; Radius</t>
  </si>
  <si>
    <t>Parking levels</t>
  </si>
  <si>
    <t>Parking spaces</t>
  </si>
  <si>
    <t>Existing parking</t>
  </si>
  <si>
    <t># of electric spots</t>
  </si>
  <si>
    <t>Value Now (as parking)*</t>
  </si>
  <si>
    <t>* Parking value was calculated at a value of $3.15 million per acre.  The value of the surface parking lots on Third Streets average $4.5 million.  The Banks lots charge less</t>
  </si>
  <si>
    <t xml:space="preserve">   and occupancy is typically 50% on weekdays (although high during events), so it was assumed that value per acre was 70% of $4.5 million (or $3.15m/acre).</t>
  </si>
  <si>
    <t>Share of value attributable to project</t>
  </si>
  <si>
    <t>C</t>
  </si>
  <si>
    <t>FUTURE USE</t>
  </si>
  <si>
    <t>Assumed undev</t>
  </si>
  <si>
    <t>Greenspace with parking under</t>
  </si>
  <si>
    <t>PROJECT CAPITAL COSTS</t>
  </si>
  <si>
    <t>PROJECT O&amp;M COSTS</t>
  </si>
  <si>
    <t>No-Build O&amp;M</t>
  </si>
  <si>
    <t>Build O&amp;M</t>
  </si>
  <si>
    <t>Undiscounted COSTS</t>
  </si>
  <si>
    <t>Platform Value</t>
  </si>
  <si>
    <t>Development Value</t>
  </si>
  <si>
    <t>Current Values:</t>
  </si>
  <si>
    <t>Resulting Total Current Value</t>
  </si>
  <si>
    <t>Resulting Total Future Value</t>
  </si>
  <si>
    <t>Expected Use</t>
  </si>
  <si>
    <t>Res/Ofc/Retail</t>
  </si>
  <si>
    <t>hotel</t>
  </si>
  <si>
    <t>park</t>
  </si>
  <si>
    <t>restaurant</t>
  </si>
  <si>
    <t>office</t>
  </si>
  <si>
    <t>Checking out the range of value</t>
  </si>
  <si>
    <t>Value per acre</t>
  </si>
  <si>
    <t>Undeveloped</t>
  </si>
  <si>
    <t>TOTAL</t>
  </si>
  <si>
    <t>Median</t>
  </si>
  <si>
    <t>Total Value Growth for Properties on North Side of Third Street</t>
  </si>
  <si>
    <t>TOTAL BENEFIT</t>
  </si>
  <si>
    <t>NOTES</t>
  </si>
  <si>
    <t>Development with parking under:  res, office &amp; retail</t>
  </si>
  <si>
    <t>Music venue with parking under</t>
  </si>
  <si>
    <t>Estimated Value Now (as parking)*</t>
  </si>
  <si>
    <t>Greenspace</t>
  </si>
  <si>
    <t>16 &amp;20</t>
  </si>
  <si>
    <t>Res &amp; Restaurant &amp; park</t>
  </si>
  <si>
    <t>NOT INCLUDED IN ANALYSIS</t>
  </si>
  <si>
    <t>DEVELOPED</t>
  </si>
  <si>
    <t>Assumed DEVELOPED soon</t>
  </si>
  <si>
    <t>Value Created by Project</t>
  </si>
  <si>
    <t>HC-supplied Potential Future Build-Out Value:</t>
  </si>
  <si>
    <t>TOTAL BENEFITS</t>
  </si>
  <si>
    <t>No-Build TOTAL</t>
  </si>
  <si>
    <t>BUILD TOTAL</t>
  </si>
  <si>
    <t>GROWTH (Benefit)</t>
  </si>
  <si>
    <t xml:space="preserve">Music Venue will bring in </t>
  </si>
  <si>
    <t>visitors per year (180 events X 1800 seats X 70% occupancy)</t>
  </si>
  <si>
    <t>Annual visitors (visits) to park:</t>
  </si>
  <si>
    <t>Census 2010</t>
  </si>
  <si>
    <t>Bike to work</t>
  </si>
  <si>
    <t>Work at home</t>
  </si>
  <si>
    <t>Transit</t>
  </si>
  <si>
    <t>with one vehicle</t>
  </si>
  <si>
    <t>Downtown</t>
  </si>
  <si>
    <t>Citywide</t>
  </si>
  <si>
    <t xml:space="preserve">Say </t>
  </si>
  <si>
    <t>new residents from Lot 25 development</t>
  </si>
  <si>
    <t>walk to work</t>
  </si>
  <si>
    <t>bike to work</t>
  </si>
  <si>
    <t>transit users</t>
  </si>
  <si>
    <t>Therefore:</t>
  </si>
  <si>
    <t>new employees from Lot 25 development</t>
  </si>
  <si>
    <t>From Lot 25 to GE</t>
  </si>
  <si>
    <t>From Lot 25 to Joe Nuxhall Way</t>
  </si>
  <si>
    <t>Average walk (walk only)</t>
  </si>
  <si>
    <t>miles</t>
  </si>
  <si>
    <t xml:space="preserve"> miles</t>
  </si>
  <si>
    <t>Average park walk</t>
  </si>
  <si>
    <t>New users (annual)</t>
  </si>
  <si>
    <t xml:space="preserve">Annual new walking miles </t>
  </si>
  <si>
    <t>New walking miles (non-commute)</t>
  </si>
  <si>
    <t>Commuting walk miles</t>
  </si>
  <si>
    <t>Walk-only commuters</t>
  </si>
  <si>
    <t>Transit Commuters</t>
  </si>
  <si>
    <t>Average walk to Transit (streetcar) from Lot 25 residents</t>
  </si>
  <si>
    <t>Average walk from Transit to jobs at Lot 25 (or new music venue)</t>
  </si>
  <si>
    <t>Number of walkers</t>
  </si>
  <si>
    <t xml:space="preserve">Number of miles (on a weekday) </t>
  </si>
  <si>
    <t>ROUND TRIP</t>
  </si>
  <si>
    <t>ANNUAL (assume 250 wordays/year)</t>
  </si>
  <si>
    <t>Number of transit users</t>
  </si>
  <si>
    <t>Number of miles walked to/from transit</t>
  </si>
  <si>
    <t>weekday, round trip total</t>
  </si>
  <si>
    <t>Growth in Park Usage from new residents/employees</t>
  </si>
  <si>
    <t>Growth in walking from new visitors to the Music Venue</t>
  </si>
  <si>
    <t>Average walk</t>
  </si>
  <si>
    <t>&lt;-- from Hamilton County</t>
  </si>
  <si>
    <t>Visitor 
walk-miles</t>
  </si>
  <si>
    <t>Total Miles Walked</t>
  </si>
  <si>
    <t>Value per Person-Mile</t>
  </si>
  <si>
    <t>Health Benefits (Bicycle)</t>
  </si>
  <si>
    <t>Health Benefits (Pedestrian)</t>
  </si>
  <si>
    <t>From Lot 25 to Scripps</t>
  </si>
  <si>
    <t>persons</t>
  </si>
  <si>
    <t>HEALTH BENEFITS OF WALKING</t>
  </si>
  <si>
    <t>Valued at $0.50 per person-mile (VTPI 2018)</t>
  </si>
  <si>
    <t>HEALTH BENEFITS OF BICYCLING</t>
  </si>
  <si>
    <t>Valued at $0.20 per person-mile (VTPI 2018)</t>
  </si>
  <si>
    <t>Growth in Bicycle Usage from new visitors to Smale Park</t>
  </si>
  <si>
    <t>Average park bike ride</t>
  </si>
  <si>
    <t xml:space="preserve">Annual new bike miles </t>
  </si>
  <si>
    <t>Growth in biking from new visitors to the Music Venue</t>
  </si>
  <si>
    <t>Percentage biking</t>
  </si>
  <si>
    <t>Bike commuters</t>
  </si>
  <si>
    <t>Average bicycle commute</t>
  </si>
  <si>
    <t>Average recreational bike ride</t>
  </si>
  <si>
    <t>New visitors (bike &amp; non-bike)</t>
  </si>
  <si>
    <t>Person-Miles from Bike Commuters</t>
  </si>
  <si>
    <t>Person-Miles from Park Visitors</t>
  </si>
  <si>
    <t>Person-Miles from Music Venue</t>
  </si>
  <si>
    <t>Percent walking (vs. biking)</t>
  </si>
  <si>
    <t>Undiscounted Cost</t>
  </si>
  <si>
    <t>Project-induced</t>
  </si>
  <si>
    <t>see Notes --&gt;</t>
  </si>
  <si>
    <t>Resulting $ value attributable to project</t>
  </si>
  <si>
    <t>not counted</t>
  </si>
  <si>
    <t>PROJECT PROPERTIES</t>
  </si>
  <si>
    <t>DEVELOPED NON-PROJECT BANKS PROPERTIES</t>
  </si>
  <si>
    <t>Assumes these properties are developed at a value equal to  median developed value/acre</t>
  </si>
  <si>
    <t>Source:</t>
  </si>
  <si>
    <t>DATA INPUTS</t>
  </si>
  <si>
    <t>Mode of Travel to Work:</t>
  </si>
  <si>
    <t>Walk to work</t>
  </si>
  <si>
    <t>HHs with no vehicle</t>
  </si>
  <si>
    <t>Access to a vehicle:</t>
  </si>
  <si>
    <t>CALCULATIONS:</t>
  </si>
  <si>
    <t>&lt;-- assumed 10% growth.*</t>
  </si>
  <si>
    <t xml:space="preserve"> * </t>
  </si>
  <si>
    <t>Percent who will walk recreationally</t>
  </si>
  <si>
    <t>SOURCE notes below*</t>
  </si>
  <si>
    <t>Bicyclists as a %age of new visitors</t>
  </si>
  <si>
    <t>*</t>
  </si>
  <si>
    <t>Census says (https://www.census.gov/prod/2014pubs/acs-25.pdf, Figure 12) that the average bicycle commute is</t>
  </si>
  <si>
    <t>18 minutes.  Assuming 11mph, that's a 3.3-mile ride each way to work</t>
  </si>
  <si>
    <t xml:space="preserve"> miles (assumed similar to work trip)</t>
  </si>
  <si>
    <t>Cincinnati Intermodal Facility Expansion</t>
  </si>
  <si>
    <t>Present Value (Discounted at  7%)</t>
  </si>
  <si>
    <t>(Assume half-hour at 12 mph)</t>
  </si>
  <si>
    <t>It is believed that these spots will attract additional parking (above the no build level) for park-and-ride use of the streetcar.</t>
  </si>
  <si>
    <t>Lot 25 is close to the streetcar (less than 1/3 mile)</t>
  </si>
  <si>
    <t>Difficulty of finding parking near areas served by the streetcar</t>
  </si>
  <si>
    <t>Assumption is that 70% of weekend traffic is destined TO the Banks (for events), with 10% walk-to-streetcar, and therefore 20% park and ride.</t>
  </si>
  <si>
    <t>And 20% of 740 is</t>
  </si>
  <si>
    <t xml:space="preserve">persons per weekend = </t>
  </si>
  <si>
    <t>annually</t>
  </si>
  <si>
    <t>And 50% of160 is</t>
  </si>
  <si>
    <t xml:space="preserve">persons per weekday X 250 = </t>
  </si>
  <si>
    <t>Background data and assumptions</t>
  </si>
  <si>
    <t>Is this reasonable?</t>
  </si>
  <si>
    <t>There is high demand for parking downtown, and electric charging will be more and more attractive, as the ownership of electric vehicles continues to grow.</t>
  </si>
  <si>
    <t xml:space="preserve">of </t>
  </si>
  <si>
    <t>equals</t>
  </si>
  <si>
    <t>daily</t>
  </si>
  <si>
    <t xml:space="preserve">WEEKEND:  </t>
  </si>
  <si>
    <t xml:space="preserve">  Assume that </t>
  </si>
  <si>
    <t>(currently estimated 80 daily park and ride users, so a 6% increase)</t>
  </si>
  <si>
    <t>(currently estimated 80 daily park and ride users, so an 81% increase)</t>
  </si>
  <si>
    <t>(currently estimated 148/2 (74) park-and-ride users each weekend day, so a 3% increase)</t>
  </si>
  <si>
    <t>So total VMT reduction due to increased park-and-ride usage caused by the presence of electric charging stations near the Streetcar station would be:</t>
  </si>
  <si>
    <t>New daily parkers</t>
  </si>
  <si>
    <t>Number that are parking to ride the streetcar</t>
  </si>
  <si>
    <t>(That is, the that divert from driving to park elsewhere in town)</t>
  </si>
  <si>
    <t>Weekday</t>
  </si>
  <si>
    <t>Weekend</t>
  </si>
  <si>
    <t>Annual</t>
  </si>
  <si>
    <t>Average miles of trip reduced</t>
  </si>
  <si>
    <t>parkers</t>
  </si>
  <si>
    <t>Doubled, because it is round trip</t>
  </si>
  <si>
    <t>Annual reduction in VMT</t>
  </si>
  <si>
    <t>Per acre costs are therefore</t>
  </si>
  <si>
    <t>acre, div by</t>
  </si>
  <si>
    <t>acreage =</t>
  </si>
  <si>
    <t>cost per acre</t>
  </si>
  <si>
    <t xml:space="preserve">Cost for THIS PROJECT covers 4.7 acre, therefore the cost would be </t>
  </si>
  <si>
    <t>Floods occur approximately every 5 years, so assume</t>
  </si>
  <si>
    <t>average annual cost</t>
  </si>
  <si>
    <t>Estimated at $5,760 annually (see details beginning at row 45 below)</t>
  </si>
  <si>
    <t>Source:  Alison McCarthy, Senior Mgr for the parking company that manages parking for Banks Lot D.</t>
  </si>
  <si>
    <t>Adjustment factor for Auditor values to Sales value</t>
  </si>
  <si>
    <t>From Lot 25 to Atrium</t>
  </si>
  <si>
    <t>Elm-to-Main and back</t>
  </si>
  <si>
    <t>Based on visual observation</t>
  </si>
  <si>
    <t xml:space="preserve">The parking garage in Lot 25 will have 150 electric vehicle charging stations. </t>
  </si>
  <si>
    <t>For reference, Banks parking has 461 individuals with monthly parking passes.  An estimated 85% walk to downtown (North of Second Street) for work (based on the addresses of employers that purchased passes).</t>
  </si>
  <si>
    <t>Currently 461 parkers just in LOT D (project area), so 28% growth over 25 years (approximately 1% growth per year) is reasonable.</t>
  </si>
  <si>
    <t>Streetcar is approximately 0.75 miles from one end to the other</t>
  </si>
  <si>
    <t>BUILD CASE ASSUMPTIONS</t>
  </si>
  <si>
    <t>Assume that the 150 electric parking spaces  will attract 10 NEW daily users in 2021, ramping up to 130 in 2050 (that's 7 days/week)…</t>
  </si>
  <si>
    <t>(currently estimated 148/2 (74) park-and-ride users each weekend day, so a 35% increase)</t>
  </si>
  <si>
    <t>Given that current park-and-ride use is an estimated 80 per day now, 5 new riders in 2020 is reasonable, as is 65 in 30 years.</t>
  </si>
  <si>
    <t>Reasonable?  Given that current park-and-ride use is an estimated 74 per day now, 2 new riders in 2020 is reasonable, as is 26 in 30 years.</t>
  </si>
  <si>
    <t>VMT Reduction</t>
  </si>
  <si>
    <t>Pavement Damage</t>
  </si>
  <si>
    <t>Pavement Damage Avoided</t>
  </si>
  <si>
    <t>Emissions Reduction</t>
  </si>
  <si>
    <t>EMISSIONS REDUCTION BENEFITS</t>
  </si>
  <si>
    <t>from reduced VMT</t>
  </si>
  <si>
    <t>PAVEMENT DAMAGE</t>
  </si>
  <si>
    <t>Source FHWA 2000 (assumed the same damage cost as for "Autos/Urban Interstate")</t>
  </si>
  <si>
    <t>Assumed speed is 25mph</t>
  </si>
  <si>
    <t>Assume all vehicles are passenger vehicles</t>
  </si>
  <si>
    <t>Model used is EMFAC</t>
  </si>
  <si>
    <t>CO</t>
  </si>
  <si>
    <t>CO2</t>
  </si>
  <si>
    <t xml:space="preserve">SOx   </t>
  </si>
  <si>
    <t xml:space="preserve">NOx  </t>
  </si>
  <si>
    <t>PM 10</t>
  </si>
  <si>
    <t>VOC</t>
  </si>
  <si>
    <t>Short Tons of Emissions</t>
  </si>
  <si>
    <t>grams/short ton factor</t>
  </si>
  <si>
    <t>Emissions Factors (g/VMT) from 2017 EMFAC</t>
  </si>
  <si>
    <t>N/A</t>
  </si>
  <si>
    <t>Sources:  2018 BCA Guidance (2016 BCA Guidance for CO2)</t>
  </si>
  <si>
    <t>2016 BCA Guidance</t>
  </si>
  <si>
    <t>Metric Tons of CO2</t>
  </si>
  <si>
    <t>$ value per metric ton</t>
  </si>
  <si>
    <t>Benefit</t>
  </si>
  <si>
    <t>Increase from Project</t>
  </si>
  <si>
    <t>Value Boost to BANKS Lots 1&amp;13</t>
  </si>
  <si>
    <t>Residual Value</t>
  </si>
  <si>
    <t>Assumed life of 75 years (concrete)</t>
  </si>
  <si>
    <t>Remaining Value in 2051</t>
  </si>
  <si>
    <t>Undiscounted</t>
  </si>
  <si>
    <t>Discounted</t>
  </si>
  <si>
    <t>Streetcar as park-and-ride</t>
  </si>
  <si>
    <t>Mixed-use development</t>
  </si>
  <si>
    <t>Construction cost of Development</t>
  </si>
  <si>
    <t>red indicates area derived from Google Earth</t>
  </si>
  <si>
    <t>Public space</t>
  </si>
  <si>
    <t>ANNUAL (assume 250 workdays/year)</t>
  </si>
  <si>
    <t>BENEFIT:  Total value of development, minus original property value (construction)</t>
  </si>
  <si>
    <t>Future Build-Out Value:</t>
  </si>
  <si>
    <t>LOTS 1 &amp; 13 UN-DEVELOPED NON-PROJECT BANKS PROPERTIES NEAR Lot 25</t>
  </si>
  <si>
    <t>Value Boost to 
PROJECT Properties
(Lots 23, 24, 25, 27 &amp; 28)</t>
  </si>
  <si>
    <t>UN-DEVELOPED NON-PROJECT BANKS PROPERTIES PROXIMATE TO Lot 25</t>
  </si>
  <si>
    <t>Being developed now</t>
  </si>
  <si>
    <t>Res &amp; Rest/ Commercial</t>
  </si>
  <si>
    <t>Further east, so less impact</t>
  </si>
  <si>
    <t>Employees added with Project-enabled development</t>
  </si>
  <si>
    <t>Residents added with Project-enabled development</t>
  </si>
  <si>
    <t>NOTE:   "walk to work" estimate was halved to avoid double-counting with Banks residents walking to Banks jobs</t>
  </si>
  <si>
    <t>for Lot 25</t>
  </si>
  <si>
    <r>
      <t xml:space="preserve">Because of the following existing reasons, </t>
    </r>
    <r>
      <rPr>
        <b/>
        <sz val="11"/>
        <color theme="1"/>
        <rFont val="Calibri"/>
        <family val="2"/>
        <scheme val="minor"/>
      </rPr>
      <t>combined wih the availability of electric charging</t>
    </r>
    <r>
      <rPr>
        <sz val="11"/>
        <color theme="1"/>
        <rFont val="Calibri"/>
        <family val="2"/>
        <scheme val="minor"/>
      </rPr>
      <t>:</t>
    </r>
  </si>
  <si>
    <t>Lower cost of parking in Banks vs. downtown</t>
  </si>
  <si>
    <t xml:space="preserve">Availability of additional parking with the Project </t>
  </si>
  <si>
    <t xml:space="preserve">x inflation </t>
  </si>
  <si>
    <t>Number of bicyclists</t>
  </si>
  <si>
    <t>VMT Reduction Assumptions, resulting from Electric Charging spots encouraging additional Park-and-Ride</t>
  </si>
  <si>
    <t>&lt;-- Assumed half O&amp;M during the construction years, since some of the parking areas would be closed during construction.</t>
  </si>
  <si>
    <t>PROJECT CAPITAL AND O&amp;M COSTS, and RESIDUAL VALUE CALCULATIONS</t>
  </si>
  <si>
    <t>Flood cleanup cost was $114,092 for 18.62-acre surface parking (this includes the 13.92-acre Central Riverfront Garage and the 4.7-acre Lot D)</t>
  </si>
  <si>
    <t>Value Boost to 
soon-to-be-developed 
BANKS PROPERTIES
Lots 19 &amp; 26-1A</t>
  </si>
  <si>
    <t>Value Boost to DEVELOPED 
BANKS PROPERTIES</t>
  </si>
  <si>
    <t>Background/derivation for these columns is BELOW</t>
  </si>
  <si>
    <t xml:space="preserve">                for the developments on the Project site to reach expected occupancy (and confer the full benefits of the Project to these and other properties)</t>
  </si>
  <si>
    <r>
      <rPr>
        <b/>
        <sz val="14"/>
        <color rgb="FFFF0000"/>
        <rFont val="Calibri"/>
        <family val="2"/>
        <scheme val="minor"/>
      </rPr>
      <t xml:space="preserve">NOTE: </t>
    </r>
    <r>
      <rPr>
        <sz val="14"/>
        <color rgb="FFFF0000"/>
        <rFont val="Calibri"/>
        <family val="2"/>
        <scheme val="minor"/>
      </rPr>
      <t xml:space="preserve"> The total net value increase is spread out over </t>
    </r>
    <r>
      <rPr>
        <b/>
        <sz val="14"/>
        <color rgb="FFFF0000"/>
        <rFont val="Calibri"/>
        <family val="2"/>
        <scheme val="minor"/>
      </rPr>
      <t>3 years</t>
    </r>
    <r>
      <rPr>
        <sz val="14"/>
        <color rgb="FFFF0000"/>
        <rFont val="Calibri"/>
        <family val="2"/>
        <scheme val="minor"/>
      </rPr>
      <t>, as it is assumed that it will take 2-3 years after construction</t>
    </r>
  </si>
  <si>
    <t>Total Miles Biked</t>
  </si>
  <si>
    <t>&lt;-- Bike to work percentage quadrupled based on the fact that Census survey data was taken prior to changes in bike services/policies</t>
  </si>
  <si>
    <t>&lt;-- assumed 10% growth</t>
  </si>
  <si>
    <t xml:space="preserve">The 100,000 new park visits is reasonable (at 10% increase).  Also works if you assume 100,000 visits/year = about 2,000 visits each week, or around 275 walks per day, </t>
  </si>
  <si>
    <t>which is not much considering the Project's new greenspace, 200 added residents, and 500 added employees, some of whom will take a lunch break or walk for health after work.</t>
  </si>
  <si>
    <t>Including the additional mileage spent looking for parking, it is assumed that half a mile is the average length that an auto trip to downtown would be shortened by (one-mile round trip).</t>
  </si>
  <si>
    <r>
      <rPr>
        <b/>
        <sz val="11"/>
        <color theme="0" tint="-0.499984740745262"/>
        <rFont val="Calibri"/>
        <family val="2"/>
        <scheme val="minor"/>
      </rPr>
      <t xml:space="preserve">COMMUTING:  </t>
    </r>
    <r>
      <rPr>
        <sz val="11"/>
        <color theme="0" tint="-0.499984740745262"/>
        <rFont val="Calibri"/>
        <family val="2"/>
        <scheme val="minor"/>
      </rPr>
      <t>Current streetcar boardings at this station are: 160 on a weekday during peak hours daily</t>
    </r>
  </si>
  <si>
    <r>
      <rPr>
        <b/>
        <sz val="11"/>
        <color theme="0" tint="-0.499984740745262"/>
        <rFont val="Calibri"/>
        <family val="2"/>
        <scheme val="minor"/>
      </rPr>
      <t>WEEKEND:</t>
    </r>
    <r>
      <rPr>
        <sz val="11"/>
        <color theme="0" tint="-0.499984740745262"/>
        <rFont val="Calibri"/>
        <family val="2"/>
        <scheme val="minor"/>
      </rPr>
      <t xml:space="preserve">  Saturday plus Sunday boardings (in March, so this might be less than usual) is</t>
    </r>
  </si>
  <si>
    <t>Grey text below is FYI, not included in any BCA calculations</t>
  </si>
  <si>
    <t>Assumption is that 40% of weekday boardings are destined TO the Banks (for events), with 10% walk-to-streetcar, and therefore 50% park (at Banks) and ride (to a destination outside the Banks).</t>
  </si>
  <si>
    <t>WEEKDAY:  Assume that 50% of the new electric vehicle parkers are going to use streetcar instead of driving to park downtown (as they would without the project).</t>
  </si>
  <si>
    <t>This data feeds into the Pavement Damage Reduction and Emissions Reduction spreadsheet tabs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</si>
</sst>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_);_(&quot;$&quot;* \(#,##0\);_(&quot;$&quot;* &quot;-&quot;??_);_(@_)"/>
    <numFmt numFmtId="167" formatCode="0.0%"/>
    <numFmt numFmtId="168" formatCode="_(* #,##0_);_(* \(#,##0\);_(* &quot;-&quot;?_);_(@_)"/>
    <numFmt numFmtId="169" formatCode="0.0"/>
    <numFmt numFmtId="170" formatCode="#,##0.0000_);\(#,##0.0000\);&quot;-  &quot;;&quot; &quot;@"/>
    <numFmt numFmtId="171" formatCode="_(&quot;$&quot;* #,##0.0000_);_(&quot;$&quot;* \(#,##0.0000\);_(&quot;$&quot;* &quot;-&quot;??_);_(@_)"/>
    <numFmt numFmtId="172" formatCode="_(&quot;$&quot;* #,##0.000000_);_(&quot;$&quot;* \(#,##0.000000\);_(&quot;$&quot;* &quot;-&quot;??_);_(@_)"/>
    <numFmt numFmtId="173" formatCode="&quot;$&quot;#,##0.00"/>
    <numFmt numFmtId="174" formatCode="_(* #,##0.000_);_(* \(#,##0.0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1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1"/>
      <color theme="0" tint="-0.499984740745262"/>
      <name val="Arial"/>
      <family val="2"/>
    </font>
    <font>
      <b/>
      <sz val="11"/>
      <name val="Arial"/>
      <family val="2"/>
    </font>
    <font>
      <sz val="11"/>
      <color theme="0" tint="-0.49998474074526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CEF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21" fillId="0" borderId="0" applyFont="0" applyFill="0" applyBorder="0" applyAlignment="0" applyProtection="0"/>
  </cellStyleXfs>
  <cellXfs count="239">
    <xf numFmtId="0" fontId="0" fillId="0" borderId="0" xfId="0"/>
    <xf numFmtId="0" fontId="2" fillId="0" borderId="0" xfId="0" applyFont="1"/>
    <xf numFmtId="0" fontId="3" fillId="0" borderId="0" xfId="0" applyFont="1"/>
    <xf numFmtId="9" fontId="0" fillId="0" borderId="0" xfId="3" applyFont="1"/>
    <xf numFmtId="0" fontId="2" fillId="0" borderId="0" xfId="0" applyFont="1" applyAlignment="1">
      <alignment wrapText="1"/>
    </xf>
    <xf numFmtId="164" fontId="0" fillId="0" borderId="0" xfId="2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164" fontId="0" fillId="0" borderId="2" xfId="2" applyNumberFormat="1" applyFont="1" applyBorder="1"/>
    <xf numFmtId="164" fontId="0" fillId="0" borderId="0" xfId="0" applyNumberFormat="1"/>
    <xf numFmtId="164" fontId="2" fillId="0" borderId="0" xfId="0" applyNumberFormat="1" applyFont="1"/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6" xfId="0" quotePrefix="1" applyBorder="1" applyAlignment="1">
      <alignment horizontal="centerContinuous"/>
    </xf>
    <xf numFmtId="17" fontId="0" fillId="0" borderId="1" xfId="0" quotePrefix="1" applyNumberForma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0" fillId="0" borderId="8" xfId="0" quotePrefix="1" applyBorder="1" applyAlignment="1">
      <alignment horizontal="centerContinuous"/>
    </xf>
    <xf numFmtId="17" fontId="0" fillId="0" borderId="9" xfId="0" quotePrefix="1" applyNumberFormat="1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164" fontId="0" fillId="0" borderId="15" xfId="0" applyNumberFormat="1" applyBorder="1"/>
    <xf numFmtId="164" fontId="0" fillId="0" borderId="16" xfId="0" applyNumberFormat="1" applyBorder="1"/>
    <xf numFmtId="0" fontId="0" fillId="0" borderId="6" xfId="0" applyBorder="1"/>
    <xf numFmtId="0" fontId="0" fillId="0" borderId="1" xfId="0" applyBorder="1"/>
    <xf numFmtId="164" fontId="0" fillId="0" borderId="1" xfId="0" applyNumberFormat="1" applyBorder="1"/>
    <xf numFmtId="164" fontId="0" fillId="0" borderId="7" xfId="0" applyNumberFormat="1" applyBorder="1"/>
    <xf numFmtId="0" fontId="0" fillId="0" borderId="17" xfId="0" applyBorder="1"/>
    <xf numFmtId="0" fontId="0" fillId="0" borderId="18" xfId="0" applyBorder="1"/>
    <xf numFmtId="164" fontId="0" fillId="0" borderId="18" xfId="0" applyNumberFormat="1" applyBorder="1"/>
    <xf numFmtId="164" fontId="0" fillId="0" borderId="19" xfId="0" applyNumberFormat="1" applyBorder="1"/>
    <xf numFmtId="0" fontId="2" fillId="0" borderId="0" xfId="0" applyFont="1" applyFill="1" applyBorder="1"/>
    <xf numFmtId="9" fontId="0" fillId="0" borderId="0" xfId="3" applyFont="1" applyFill="1" applyBorder="1"/>
    <xf numFmtId="0" fontId="0" fillId="2" borderId="6" xfId="0" applyFill="1" applyBorder="1"/>
    <xf numFmtId="0" fontId="0" fillId="2" borderId="1" xfId="0" applyFill="1" applyBorder="1"/>
    <xf numFmtId="164" fontId="0" fillId="2" borderId="1" xfId="0" applyNumberFormat="1" applyFill="1" applyBorder="1"/>
    <xf numFmtId="164" fontId="0" fillId="2" borderId="7" xfId="0" applyNumberFormat="1" applyFill="1" applyBorder="1"/>
    <xf numFmtId="0" fontId="0" fillId="0" borderId="0" xfId="0" applyFill="1"/>
    <xf numFmtId="165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44" fontId="0" fillId="0" borderId="0" xfId="0" applyNumberFormat="1"/>
    <xf numFmtId="0" fontId="0" fillId="0" borderId="0" xfId="0" applyAlignment="1">
      <alignment horizontal="right"/>
    </xf>
    <xf numFmtId="164" fontId="0" fillId="0" borderId="0" xfId="2" applyNumberFormat="1" applyFont="1" applyFill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/>
    <xf numFmtId="0" fontId="0" fillId="6" borderId="0" xfId="0" applyFill="1" applyAlignment="1">
      <alignment wrapText="1"/>
    </xf>
    <xf numFmtId="0" fontId="0" fillId="6" borderId="0" xfId="0" applyFill="1"/>
    <xf numFmtId="0" fontId="5" fillId="6" borderId="0" xfId="0" applyFont="1" applyFill="1" applyAlignment="1">
      <alignment horizontal="center"/>
    </xf>
    <xf numFmtId="44" fontId="0" fillId="0" borderId="0" xfId="2" applyFont="1"/>
    <xf numFmtId="0" fontId="0" fillId="0" borderId="0" xfId="0" applyAlignment="1">
      <alignment horizontal="left" indent="1"/>
    </xf>
    <xf numFmtId="0" fontId="2" fillId="0" borderId="0" xfId="0" applyFont="1" applyAlignment="1">
      <alignment horizontal="right"/>
    </xf>
    <xf numFmtId="166" fontId="0" fillId="0" borderId="0" xfId="0" applyNumberFormat="1"/>
    <xf numFmtId="0" fontId="0" fillId="8" borderId="0" xfId="0" applyFill="1"/>
    <xf numFmtId="0" fontId="0" fillId="9" borderId="0" xfId="0" applyFill="1" applyAlignment="1">
      <alignment wrapText="1"/>
    </xf>
    <xf numFmtId="165" fontId="0" fillId="10" borderId="0" xfId="1" applyNumberFormat="1" applyFont="1" applyFill="1"/>
    <xf numFmtId="0" fontId="0" fillId="11" borderId="0" xfId="0" applyFill="1"/>
    <xf numFmtId="164" fontId="0" fillId="11" borderId="0" xfId="0" applyNumberFormat="1" applyFill="1"/>
    <xf numFmtId="0" fontId="7" fillId="0" borderId="0" xfId="0" applyFont="1"/>
    <xf numFmtId="9" fontId="0" fillId="0" borderId="0" xfId="3" applyFont="1" applyFill="1"/>
    <xf numFmtId="9" fontId="0" fillId="0" borderId="0" xfId="0" applyNumberFormat="1" applyFill="1"/>
    <xf numFmtId="0" fontId="0" fillId="0" borderId="0" xfId="0" applyNumberFormat="1" applyFill="1"/>
    <xf numFmtId="2" fontId="0" fillId="0" borderId="0" xfId="0" applyNumberFormat="1"/>
    <xf numFmtId="164" fontId="1" fillId="0" borderId="0" xfId="2" applyNumberFormat="1" applyFont="1"/>
    <xf numFmtId="0" fontId="3" fillId="0" borderId="0" xfId="0" applyFont="1" applyAlignment="1">
      <alignment horizontal="right"/>
    </xf>
    <xf numFmtId="164" fontId="0" fillId="0" borderId="0" xfId="0" applyNumberFormat="1" applyFill="1"/>
    <xf numFmtId="167" fontId="0" fillId="0" borderId="0" xfId="3" applyNumberFormat="1" applyFont="1"/>
    <xf numFmtId="10" fontId="0" fillId="0" borderId="0" xfId="3" applyNumberFormat="1" applyFont="1"/>
    <xf numFmtId="10" fontId="0" fillId="0" borderId="0" xfId="0" applyNumberFormat="1"/>
    <xf numFmtId="1" fontId="0" fillId="0" borderId="0" xfId="0" applyNumberFormat="1"/>
    <xf numFmtId="168" fontId="0" fillId="0" borderId="0" xfId="0" applyNumberFormat="1"/>
    <xf numFmtId="165" fontId="2" fillId="10" borderId="0" xfId="1" applyNumberFormat="1" applyFont="1" applyFill="1"/>
    <xf numFmtId="165" fontId="0" fillId="12" borderId="0" xfId="1" applyNumberFormat="1" applyFont="1" applyFill="1"/>
    <xf numFmtId="165" fontId="2" fillId="12" borderId="0" xfId="1" applyNumberFormat="1" applyFont="1" applyFill="1"/>
    <xf numFmtId="165" fontId="2" fillId="8" borderId="0" xfId="1" applyNumberFormat="1" applyFont="1" applyFill="1"/>
    <xf numFmtId="10" fontId="0" fillId="3" borderId="0" xfId="0" applyNumberFormat="1" applyFill="1"/>
    <xf numFmtId="10" fontId="0" fillId="4" borderId="0" xfId="0" applyNumberFormat="1" applyFill="1"/>
    <xf numFmtId="10" fontId="0" fillId="4" borderId="0" xfId="3" applyNumberFormat="1" applyFont="1" applyFill="1"/>
    <xf numFmtId="10" fontId="0" fillId="3" borderId="0" xfId="3" applyNumberFormat="1" applyFont="1" applyFill="1"/>
    <xf numFmtId="165" fontId="0" fillId="0" borderId="0" xfId="0" applyNumberFormat="1"/>
    <xf numFmtId="165" fontId="0" fillId="12" borderId="0" xfId="0" applyNumberFormat="1" applyFill="1"/>
    <xf numFmtId="165" fontId="0" fillId="10" borderId="0" xfId="0" applyNumberFormat="1" applyFill="1"/>
    <xf numFmtId="165" fontId="0" fillId="8" borderId="0" xfId="0" applyNumberFormat="1" applyFill="1"/>
    <xf numFmtId="0" fontId="9" fillId="0" borderId="0" xfId="0" applyFont="1"/>
    <xf numFmtId="164" fontId="0" fillId="7" borderId="0" xfId="0" applyNumberFormat="1" applyFill="1"/>
    <xf numFmtId="0" fontId="3" fillId="7" borderId="0" xfId="0" applyFont="1" applyFill="1"/>
    <xf numFmtId="164" fontId="1" fillId="7" borderId="0" xfId="2" applyNumberFormat="1" applyFont="1" applyFill="1"/>
    <xf numFmtId="164" fontId="1" fillId="11" borderId="0" xfId="2" applyNumberFormat="1" applyFont="1" applyFill="1"/>
    <xf numFmtId="164" fontId="3" fillId="12" borderId="0" xfId="0" applyNumberFormat="1" applyFont="1" applyFill="1"/>
    <xf numFmtId="164" fontId="1" fillId="12" borderId="0" xfId="2" applyNumberFormat="1" applyFont="1" applyFill="1"/>
    <xf numFmtId="164" fontId="1" fillId="8" borderId="0" xfId="2" applyNumberFormat="1" applyFont="1" applyFill="1"/>
    <xf numFmtId="164" fontId="1" fillId="9" borderId="0" xfId="2" applyNumberFormat="1" applyFont="1" applyFill="1"/>
    <xf numFmtId="9" fontId="8" fillId="0" borderId="0" xfId="3" applyFont="1" applyFill="1" applyBorder="1"/>
    <xf numFmtId="0" fontId="5" fillId="0" borderId="0" xfId="0" applyFont="1" applyFill="1" applyAlignment="1">
      <alignment horizontal="center"/>
    </xf>
    <xf numFmtId="165" fontId="0" fillId="0" borderId="0" xfId="1" applyNumberFormat="1" applyFont="1" applyFill="1"/>
    <xf numFmtId="164" fontId="0" fillId="8" borderId="0" xfId="0" applyNumberFormat="1" applyFill="1"/>
    <xf numFmtId="164" fontId="0" fillId="12" borderId="0" xfId="0" applyNumberFormat="1" applyFill="1"/>
    <xf numFmtId="0" fontId="2" fillId="0" borderId="0" xfId="0" applyFont="1" applyFill="1" applyAlignment="1">
      <alignment wrapText="1"/>
    </xf>
    <xf numFmtId="164" fontId="3" fillId="8" borderId="0" xfId="0" applyNumberFormat="1" applyFont="1" applyFill="1"/>
    <xf numFmtId="0" fontId="11" fillId="0" borderId="0" xfId="0" applyFont="1"/>
    <xf numFmtId="1" fontId="0" fillId="11" borderId="0" xfId="0" applyNumberFormat="1" applyFill="1"/>
    <xf numFmtId="0" fontId="0" fillId="11" borderId="0" xfId="0" applyFill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0" applyFont="1"/>
    <xf numFmtId="168" fontId="12" fillId="0" borderId="0" xfId="0" applyNumberFormat="1" applyFont="1"/>
    <xf numFmtId="0" fontId="2" fillId="0" borderId="0" xfId="0" applyFont="1" applyFill="1"/>
    <xf numFmtId="0" fontId="3" fillId="8" borderId="0" xfId="0" applyFont="1" applyFill="1"/>
    <xf numFmtId="0" fontId="3" fillId="9" borderId="0" xfId="0" applyFont="1" applyFill="1"/>
    <xf numFmtId="0" fontId="0" fillId="0" borderId="1" xfId="0" applyFill="1" applyBorder="1" applyAlignment="1">
      <alignment horizontal="left" vertical="center" wrapText="1"/>
    </xf>
    <xf numFmtId="164" fontId="4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0" fillId="0" borderId="1" xfId="0" applyFill="1" applyBorder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Alignment="1"/>
    <xf numFmtId="0" fontId="2" fillId="0" borderId="0" xfId="0" applyFont="1" applyFill="1" applyAlignment="1"/>
    <xf numFmtId="0" fontId="12" fillId="0" borderId="0" xfId="0" applyFont="1" applyFill="1"/>
    <xf numFmtId="169" fontId="0" fillId="0" borderId="0" xfId="0" applyNumberFormat="1"/>
    <xf numFmtId="0" fontId="14" fillId="0" borderId="0" xfId="0" applyFont="1"/>
    <xf numFmtId="0" fontId="5" fillId="0" borderId="0" xfId="0" applyFont="1" applyFill="1"/>
    <xf numFmtId="0" fontId="13" fillId="0" borderId="1" xfId="0" applyFont="1" applyBorder="1" applyAlignment="1">
      <alignment wrapText="1"/>
    </xf>
    <xf numFmtId="6" fontId="17" fillId="0" borderId="1" xfId="0" applyNumberFormat="1" applyFont="1" applyBorder="1"/>
    <xf numFmtId="6" fontId="18" fillId="0" borderId="1" xfId="0" applyNumberFormat="1" applyFont="1" applyBorder="1"/>
    <xf numFmtId="0" fontId="19" fillId="0" borderId="1" xfId="0" applyFont="1" applyBorder="1" applyAlignment="1">
      <alignment wrapText="1"/>
    </xf>
    <xf numFmtId="6" fontId="15" fillId="0" borderId="1" xfId="0" applyNumberFormat="1" applyFont="1" applyBorder="1"/>
    <xf numFmtId="6" fontId="16" fillId="0" borderId="1" xfId="0" applyNumberFormat="1" applyFont="1" applyBorder="1"/>
    <xf numFmtId="0" fontId="20" fillId="0" borderId="0" xfId="0" applyFont="1"/>
    <xf numFmtId="0" fontId="14" fillId="0" borderId="0" xfId="0" applyFont="1" applyAlignment="1">
      <alignment horizontal="left" indent="2"/>
    </xf>
    <xf numFmtId="9" fontId="0" fillId="0" borderId="0" xfId="0" applyNumberFormat="1"/>
    <xf numFmtId="166" fontId="0" fillId="0" borderId="0" xfId="2" applyNumberFormat="1" applyFont="1"/>
    <xf numFmtId="164" fontId="0" fillId="13" borderId="0" xfId="0" applyNumberFormat="1" applyFill="1"/>
    <xf numFmtId="165" fontId="0" fillId="8" borderId="0" xfId="1" applyNumberFormat="1" applyFont="1" applyFill="1"/>
    <xf numFmtId="1" fontId="0" fillId="0" borderId="0" xfId="0" applyNumberFormat="1" applyFill="1"/>
    <xf numFmtId="43" fontId="0" fillId="0" borderId="0" xfId="1" applyFont="1"/>
    <xf numFmtId="165" fontId="0" fillId="0" borderId="0" xfId="1" quotePrefix="1" applyNumberFormat="1" applyFont="1"/>
    <xf numFmtId="43" fontId="0" fillId="0" borderId="0" xfId="0" applyNumberFormat="1"/>
    <xf numFmtId="172" fontId="0" fillId="14" borderId="0" xfId="2" applyNumberFormat="1" applyFont="1" applyFill="1"/>
    <xf numFmtId="171" fontId="0" fillId="0" borderId="0" xfId="2" applyNumberFormat="1" applyFont="1"/>
    <xf numFmtId="171" fontId="2" fillId="0" borderId="0" xfId="2" applyNumberFormat="1" applyFont="1"/>
    <xf numFmtId="173" fontId="0" fillId="0" borderId="0" xfId="2" applyNumberFormat="1" applyFont="1"/>
    <xf numFmtId="43" fontId="0" fillId="0" borderId="2" xfId="0" applyNumberFormat="1" applyBorder="1" applyAlignment="1"/>
    <xf numFmtId="165" fontId="0" fillId="15" borderId="0" xfId="1" applyNumberFormat="1" applyFont="1" applyFill="1"/>
    <xf numFmtId="171" fontId="0" fillId="15" borderId="0" xfId="2" applyNumberFormat="1" applyFont="1" applyFill="1"/>
    <xf numFmtId="43" fontId="0" fillId="0" borderId="0" xfId="0" applyNumberFormat="1" applyBorder="1" applyAlignment="1">
      <alignment horizontal="center"/>
    </xf>
    <xf numFmtId="44" fontId="0" fillId="0" borderId="0" xfId="2" applyFont="1" applyAlignment="1">
      <alignment wrapText="1"/>
    </xf>
    <xf numFmtId="0" fontId="0" fillId="0" borderId="0" xfId="0" applyFont="1" applyAlignment="1">
      <alignment wrapText="1"/>
    </xf>
    <xf numFmtId="0" fontId="0" fillId="7" borderId="0" xfId="0" applyFill="1"/>
    <xf numFmtId="9" fontId="0" fillId="0" borderId="0" xfId="3" applyFont="1" applyFill="1" applyAlignment="1">
      <alignment horizontal="center"/>
    </xf>
    <xf numFmtId="0" fontId="5" fillId="7" borderId="0" xfId="0" applyFont="1" applyFill="1" applyAlignment="1">
      <alignment horizontal="right"/>
    </xf>
    <xf numFmtId="164" fontId="5" fillId="7" borderId="0" xfId="0" applyNumberFormat="1" applyFont="1" applyFill="1" applyAlignment="1">
      <alignment horizontal="right"/>
    </xf>
    <xf numFmtId="0" fontId="5" fillId="11" borderId="0" xfId="0" applyFont="1" applyFill="1" applyAlignment="1">
      <alignment horizontal="right"/>
    </xf>
    <xf numFmtId="164" fontId="5" fillId="11" borderId="0" xfId="0" applyNumberFormat="1" applyFont="1" applyFill="1" applyAlignment="1">
      <alignment horizontal="right"/>
    </xf>
    <xf numFmtId="6" fontId="16" fillId="0" borderId="1" xfId="0" applyNumberFormat="1" applyFont="1" applyFill="1" applyBorder="1"/>
    <xf numFmtId="0" fontId="2" fillId="0" borderId="0" xfId="0" applyFont="1" applyBorder="1" applyAlignment="1">
      <alignment horizontal="center"/>
    </xf>
    <xf numFmtId="6" fontId="22" fillId="0" borderId="1" xfId="0" applyNumberFormat="1" applyFont="1" applyBorder="1"/>
    <xf numFmtId="0" fontId="0" fillId="15" borderId="0" xfId="0" applyFill="1"/>
    <xf numFmtId="164" fontId="0" fillId="15" borderId="0" xfId="2" applyNumberFormat="1" applyFont="1" applyFill="1"/>
    <xf numFmtId="0" fontId="5" fillId="6" borderId="0" xfId="0" applyFont="1" applyFill="1"/>
    <xf numFmtId="0" fontId="2" fillId="6" borderId="0" xfId="0" applyFont="1" applyFill="1"/>
    <xf numFmtId="165" fontId="0" fillId="6" borderId="0" xfId="1" applyNumberFormat="1" applyFont="1" applyFill="1"/>
    <xf numFmtId="0" fontId="2" fillId="6" borderId="0" xfId="0" quotePrefix="1" applyFont="1" applyFill="1"/>
    <xf numFmtId="0" fontId="23" fillId="0" borderId="0" xfId="0" applyFont="1"/>
    <xf numFmtId="0" fontId="0" fillId="6" borderId="0" xfId="0" applyFill="1" applyAlignment="1">
      <alignment horizontal="center"/>
    </xf>
    <xf numFmtId="0" fontId="0" fillId="5" borderId="0" xfId="0" applyFill="1"/>
    <xf numFmtId="0" fontId="2" fillId="16" borderId="0" xfId="0" applyFont="1" applyFill="1"/>
    <xf numFmtId="0" fontId="2" fillId="16" borderId="0" xfId="0" applyFont="1" applyFill="1" applyBorder="1"/>
    <xf numFmtId="166" fontId="0" fillId="16" borderId="0" xfId="2" applyNumberFormat="1" applyFont="1" applyFill="1"/>
    <xf numFmtId="0" fontId="0" fillId="16" borderId="0" xfId="0" applyFill="1"/>
    <xf numFmtId="164" fontId="0" fillId="16" borderId="0" xfId="0" applyNumberFormat="1" applyFill="1" applyBorder="1"/>
    <xf numFmtId="0" fontId="2" fillId="16" borderId="0" xfId="0" applyFont="1" applyFill="1" applyAlignment="1">
      <alignment horizontal="right"/>
    </xf>
    <xf numFmtId="166" fontId="0" fillId="16" borderId="0" xfId="0" applyNumberFormat="1" applyFill="1"/>
    <xf numFmtId="164" fontId="0" fillId="16" borderId="0" xfId="0" applyNumberFormat="1" applyFill="1"/>
    <xf numFmtId="0" fontId="0" fillId="9" borderId="0" xfId="0" applyFill="1"/>
    <xf numFmtId="0" fontId="12" fillId="0" borderId="0" xfId="0" applyFont="1" applyFill="1" applyAlignment="1">
      <alignment wrapText="1"/>
    </xf>
    <xf numFmtId="0" fontId="3" fillId="11" borderId="0" xfId="0" applyFont="1" applyFill="1"/>
    <xf numFmtId="0" fontId="7" fillId="0" borderId="0" xfId="0" applyFont="1" applyFill="1"/>
    <xf numFmtId="0" fontId="0" fillId="12" borderId="0" xfId="0" applyFill="1"/>
    <xf numFmtId="0" fontId="3" fillId="12" borderId="0" xfId="0" applyFont="1" applyFill="1"/>
    <xf numFmtId="0" fontId="2" fillId="6" borderId="0" xfId="0" applyFont="1" applyFill="1" applyAlignment="1">
      <alignment horizontal="center"/>
    </xf>
    <xf numFmtId="164" fontId="3" fillId="12" borderId="0" xfId="0" applyNumberFormat="1" applyFont="1" applyFill="1" applyAlignment="1">
      <alignment horizontal="center"/>
    </xf>
    <xf numFmtId="164" fontId="0" fillId="9" borderId="0" xfId="0" applyNumberFormat="1" applyFill="1"/>
    <xf numFmtId="164" fontId="2" fillId="9" borderId="0" xfId="0" applyNumberFormat="1" applyFont="1" applyFill="1"/>
    <xf numFmtId="6" fontId="17" fillId="0" borderId="1" xfId="0" applyNumberFormat="1" applyFont="1" applyFill="1" applyBorder="1"/>
    <xf numFmtId="6" fontId="18" fillId="0" borderId="1" xfId="0" applyNumberFormat="1" applyFont="1" applyFill="1" applyBorder="1"/>
    <xf numFmtId="43" fontId="15" fillId="0" borderId="1" xfId="1" applyNumberFormat="1" applyFont="1" applyFill="1" applyBorder="1"/>
    <xf numFmtId="43" fontId="16" fillId="0" borderId="1" xfId="1" applyNumberFormat="1" applyFont="1" applyFill="1" applyBorder="1"/>
    <xf numFmtId="164" fontId="0" fillId="0" borderId="0" xfId="0" applyNumberFormat="1"/>
    <xf numFmtId="0" fontId="0" fillId="0" borderId="0" xfId="0" applyFill="1"/>
    <xf numFmtId="0" fontId="0" fillId="0" borderId="0" xfId="0" applyFill="1" applyAlignment="1">
      <alignment wrapText="1"/>
    </xf>
    <xf numFmtId="164" fontId="0" fillId="0" borderId="0" xfId="0" applyNumberFormat="1" applyFill="1"/>
    <xf numFmtId="0" fontId="5" fillId="0" borderId="0" xfId="0" applyFont="1" applyFill="1" applyAlignment="1">
      <alignment horizontal="center"/>
    </xf>
    <xf numFmtId="165" fontId="0" fillId="0" borderId="0" xfId="1" applyNumberFormat="1" applyFont="1" applyFill="1"/>
    <xf numFmtId="43" fontId="0" fillId="0" borderId="0" xfId="1" applyNumberFormat="1" applyFont="1" applyFill="1"/>
    <xf numFmtId="9" fontId="0" fillId="0" borderId="0" xfId="3" applyFont="1"/>
    <xf numFmtId="0" fontId="0" fillId="0" borderId="0" xfId="0" applyFill="1"/>
    <xf numFmtId="164" fontId="0" fillId="9" borderId="0" xfId="0" applyNumberFormat="1" applyFill="1"/>
    <xf numFmtId="9" fontId="0" fillId="0" borderId="0" xfId="3" applyFont="1" applyFill="1"/>
    <xf numFmtId="164" fontId="0" fillId="0" borderId="0" xfId="0" applyNumberFormat="1" applyFill="1"/>
    <xf numFmtId="0" fontId="5" fillId="0" borderId="0" xfId="0" applyFont="1" applyFill="1" applyAlignment="1">
      <alignment horizontal="center"/>
    </xf>
    <xf numFmtId="165" fontId="0" fillId="0" borderId="0" xfId="1" applyNumberFormat="1" applyFont="1" applyFill="1"/>
    <xf numFmtId="164" fontId="0" fillId="12" borderId="0" xfId="0" applyNumberFormat="1" applyFill="1"/>
    <xf numFmtId="0" fontId="0" fillId="0" borderId="1" xfId="0" applyFill="1" applyBorder="1" applyAlignment="1">
      <alignment horizontal="left" vertical="center" wrapText="1"/>
    </xf>
    <xf numFmtId="164" fontId="4" fillId="0" borderId="0" xfId="0" applyNumberFormat="1" applyFont="1" applyFill="1" applyAlignment="1">
      <alignment horizontal="right"/>
    </xf>
    <xf numFmtId="0" fontId="0" fillId="0" borderId="0" xfId="0" applyBorder="1" applyAlignment="1">
      <alignment horizontal="center"/>
    </xf>
    <xf numFmtId="0" fontId="25" fillId="0" borderId="0" xfId="0" applyFont="1"/>
    <xf numFmtId="165" fontId="25" fillId="0" borderId="0" xfId="1" applyNumberFormat="1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Fill="1" applyAlignment="1">
      <alignment vertical="top" wrapText="1"/>
    </xf>
    <xf numFmtId="0" fontId="2" fillId="12" borderId="2" xfId="0" applyFont="1" applyFill="1" applyBorder="1" applyAlignment="1">
      <alignment horizontal="center"/>
    </xf>
    <xf numFmtId="0" fontId="0" fillId="16" borderId="0" xfId="0" applyFill="1" applyAlignment="1">
      <alignment horizontal="center" vertical="center" wrapText="1"/>
    </xf>
    <xf numFmtId="0" fontId="10" fillId="5" borderId="2" xfId="0" applyFont="1" applyFill="1" applyBorder="1" applyAlignment="1">
      <alignment horizontal="center"/>
    </xf>
    <xf numFmtId="9" fontId="0" fillId="2" borderId="0" xfId="3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4" fontId="0" fillId="0" borderId="0" xfId="2" applyNumberFormat="1" applyFont="1" applyAlignment="1">
      <alignment horizontal="left" indent="1"/>
    </xf>
    <xf numFmtId="164" fontId="2" fillId="0" borderId="0" xfId="2" applyNumberFormat="1" applyFont="1"/>
    <xf numFmtId="0" fontId="2" fillId="9" borderId="0" xfId="0" applyFont="1" applyFill="1" applyAlignment="1">
      <alignment vertical="center" wrapText="1"/>
    </xf>
    <xf numFmtId="0" fontId="2" fillId="7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2" fillId="12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3" fillId="5" borderId="0" xfId="0" applyFont="1" applyFill="1"/>
    <xf numFmtId="165" fontId="3" fillId="5" borderId="0" xfId="0" applyNumberFormat="1" applyFont="1" applyFill="1"/>
    <xf numFmtId="0" fontId="8" fillId="0" borderId="0" xfId="0" applyFont="1"/>
    <xf numFmtId="174" fontId="0" fillId="0" borderId="0" xfId="1" applyNumberFormat="1" applyFont="1"/>
    <xf numFmtId="43" fontId="2" fillId="0" borderId="2" xfId="0" applyNumberFormat="1" applyFont="1" applyBorder="1" applyAlignment="1">
      <alignment horizontal="center"/>
    </xf>
    <xf numFmtId="43" fontId="2" fillId="0" borderId="2" xfId="0" applyNumberFormat="1" applyFont="1" applyBorder="1" applyAlignment="1">
      <alignment horizontal="center" vertical="center"/>
    </xf>
  </cellXfs>
  <cellStyles count="5">
    <cellStyle name="Comma" xfId="1" builtinId="3"/>
    <cellStyle name="Currency" xfId="2" builtinId="4"/>
    <cellStyle name="Factor" xf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BCEFE"/>
      <color rgb="FFF8B5FD"/>
      <color rgb="FFFF00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6</xdr:row>
      <xdr:rowOff>152400</xdr:rowOff>
    </xdr:from>
    <xdr:to>
      <xdr:col>5</xdr:col>
      <xdr:colOff>447675</xdr:colOff>
      <xdr:row>14</xdr:row>
      <xdr:rowOff>66675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E1B116F5-1CE1-4696-998F-DAAC45E42890}"/>
            </a:ext>
          </a:extLst>
        </xdr:cNvPr>
        <xdr:cNvCxnSpPr/>
      </xdr:nvCxnSpPr>
      <xdr:spPr>
        <a:xfrm flipH="1">
          <a:off x="4972050" y="1771650"/>
          <a:ext cx="57150" cy="1438275"/>
        </a:xfrm>
        <a:prstGeom prst="straightConnector1">
          <a:avLst/>
        </a:prstGeom>
        <a:ln w="38100"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342901</xdr:colOff>
      <xdr:row>15</xdr:row>
      <xdr:rowOff>133350</xdr:rowOff>
    </xdr:from>
    <xdr:to>
      <xdr:col>5</xdr:col>
      <xdr:colOff>438150</xdr:colOff>
      <xdr:row>25</xdr:row>
      <xdr:rowOff>38100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C0E9D37E-53C6-4DD2-A201-6EEB631A3B8D}"/>
            </a:ext>
          </a:extLst>
        </xdr:cNvPr>
        <xdr:cNvCxnSpPr/>
      </xdr:nvCxnSpPr>
      <xdr:spPr>
        <a:xfrm flipH="1">
          <a:off x="4924426" y="3467100"/>
          <a:ext cx="95249" cy="1809750"/>
        </a:xfrm>
        <a:prstGeom prst="straightConnector1">
          <a:avLst/>
        </a:prstGeom>
        <a:ln w="38100"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285751</xdr:colOff>
      <xdr:row>26</xdr:row>
      <xdr:rowOff>133350</xdr:rowOff>
    </xdr:from>
    <xdr:to>
      <xdr:col>5</xdr:col>
      <xdr:colOff>361950</xdr:colOff>
      <xdr:row>35</xdr:row>
      <xdr:rowOff>76200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7DB9B60-09A5-44F2-88DD-4ABE2BCB7C3C}"/>
            </a:ext>
          </a:extLst>
        </xdr:cNvPr>
        <xdr:cNvCxnSpPr/>
      </xdr:nvCxnSpPr>
      <xdr:spPr>
        <a:xfrm flipH="1">
          <a:off x="4867276" y="5562600"/>
          <a:ext cx="76199" cy="1657350"/>
        </a:xfrm>
        <a:prstGeom prst="straightConnector1">
          <a:avLst/>
        </a:prstGeom>
        <a:ln w="38100"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203200</xdr:colOff>
      <xdr:row>1</xdr:row>
      <xdr:rowOff>76200</xdr:rowOff>
    </xdr:from>
    <xdr:to>
      <xdr:col>12</xdr:col>
      <xdr:colOff>352425</xdr:colOff>
      <xdr:row>10</xdr:row>
      <xdr:rowOff>88685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0D68E3-90EA-4BCC-9376-791827C25A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237"/>
        <a:stretch/>
      </xdr:blipFill>
      <xdr:spPr>
        <a:xfrm>
          <a:off x="4879975" y="314325"/>
          <a:ext cx="3311525" cy="1774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zoomScale="90" zoomScaleNormal="90" workbookViewId="0">
      <selection activeCell="J5" sqref="J5"/>
    </sheetView>
  </sheetViews>
  <sheetFormatPr defaultRowHeight="15" x14ac:dyDescent="0.25"/>
  <cols>
    <col min="1" max="1" width="37.140625" customWidth="1"/>
    <col min="2" max="2" width="18" customWidth="1"/>
    <col min="3" max="3" width="18.5703125" customWidth="1"/>
  </cols>
  <sheetData>
    <row r="1" spans="1:3" ht="21" x14ac:dyDescent="0.35">
      <c r="A1" s="133" t="s">
        <v>221</v>
      </c>
    </row>
    <row r="2" spans="1:3" ht="21" x14ac:dyDescent="0.35">
      <c r="A2" s="133" t="s">
        <v>10</v>
      </c>
    </row>
    <row r="4" spans="1:3" x14ac:dyDescent="0.25">
      <c r="B4" s="107"/>
      <c r="C4" s="107"/>
    </row>
    <row r="5" spans="1:3" ht="45" x14ac:dyDescent="0.25">
      <c r="A5" s="223" t="s">
        <v>0</v>
      </c>
      <c r="B5" s="221" t="s">
        <v>24</v>
      </c>
      <c r="C5" s="222" t="s">
        <v>222</v>
      </c>
    </row>
    <row r="6" spans="1:3" ht="20.100000000000001" customHeight="1" x14ac:dyDescent="0.25">
      <c r="A6" s="127" t="s">
        <v>1</v>
      </c>
      <c r="B6" s="128"/>
      <c r="C6" s="129"/>
    </row>
    <row r="7" spans="1:3" ht="20.100000000000001" customHeight="1" x14ac:dyDescent="0.25">
      <c r="A7" s="130" t="s">
        <v>2</v>
      </c>
      <c r="B7" s="128">
        <f>+'Project Costs'!B40</f>
        <v>53300000</v>
      </c>
      <c r="C7" s="129">
        <f>+'Project Costs'!C40</f>
        <v>48183684.164555855</v>
      </c>
    </row>
    <row r="8" spans="1:3" ht="20.100000000000001" customHeight="1" x14ac:dyDescent="0.25">
      <c r="A8" s="130" t="s">
        <v>8</v>
      </c>
      <c r="B8" s="128">
        <f>+'Project Costs'!M40</f>
        <v>4443000</v>
      </c>
      <c r="C8" s="129">
        <f>+'Project Costs'!N40</f>
        <v>1525406.8486997955</v>
      </c>
    </row>
    <row r="9" spans="1:3" ht="20.100000000000001" customHeight="1" x14ac:dyDescent="0.25">
      <c r="A9" s="127" t="s">
        <v>3</v>
      </c>
      <c r="B9" s="131">
        <f>+B8+B7</f>
        <v>57743000</v>
      </c>
      <c r="C9" s="132">
        <f t="shared" ref="C9" si="0">+C8+C7</f>
        <v>49709091.013255648</v>
      </c>
    </row>
    <row r="10" spans="1:3" ht="20.100000000000001" customHeight="1" x14ac:dyDescent="0.25">
      <c r="A10" s="127"/>
      <c r="B10" s="131"/>
      <c r="C10" s="132"/>
    </row>
    <row r="11" spans="1:3" ht="20.100000000000001" customHeight="1" x14ac:dyDescent="0.25">
      <c r="A11" s="127" t="s">
        <v>4</v>
      </c>
      <c r="B11" s="128"/>
      <c r="C11" s="129"/>
    </row>
    <row r="12" spans="1:3" ht="20.100000000000001" customHeight="1" x14ac:dyDescent="0.25">
      <c r="A12" s="130" t="s">
        <v>9</v>
      </c>
      <c r="B12" s="128">
        <f>+'Flood Repair'!E41</f>
        <v>178552.14178302902</v>
      </c>
      <c r="C12" s="129">
        <f>+'Flood Repair'!F41</f>
        <v>67458.012182267325</v>
      </c>
    </row>
    <row r="13" spans="1:3" ht="34.5" customHeight="1" x14ac:dyDescent="0.25">
      <c r="A13" s="130" t="s">
        <v>11</v>
      </c>
      <c r="B13" s="189">
        <f>+'Property Value'!H40</f>
        <v>124815786.36784232</v>
      </c>
      <c r="C13" s="190">
        <f>+'Property Value'!I40</f>
        <v>95366719.294721037</v>
      </c>
    </row>
    <row r="14" spans="1:3" ht="20.100000000000001" customHeight="1" x14ac:dyDescent="0.25">
      <c r="A14" s="130" t="s">
        <v>177</v>
      </c>
      <c r="B14" s="128">
        <f>+Pedestrian!H41</f>
        <v>1304050</v>
      </c>
      <c r="C14" s="129">
        <f>+Pedestrian!I41</f>
        <v>465497.85722853872</v>
      </c>
    </row>
    <row r="15" spans="1:3" ht="20.100000000000001" customHeight="1" x14ac:dyDescent="0.25">
      <c r="A15" s="130" t="s">
        <v>176</v>
      </c>
      <c r="B15" s="128">
        <f>+Bicycle!H43</f>
        <v>1149272.3330568222</v>
      </c>
      <c r="C15" s="129">
        <f>+Bicycle!I43</f>
        <v>406498.58273123339</v>
      </c>
    </row>
    <row r="16" spans="1:3" ht="20.100000000000001" customHeight="1" x14ac:dyDescent="0.25">
      <c r="A16" s="130" t="s">
        <v>278</v>
      </c>
      <c r="B16" s="128">
        <f>+'VMT-related Pavement benefits'!D42</f>
        <v>482.52337626032875</v>
      </c>
      <c r="C16" s="129">
        <f>+'VMT-related Pavement benefits'!E42</f>
        <v>125.4679378710934</v>
      </c>
    </row>
    <row r="17" spans="1:4" ht="20.100000000000001" customHeight="1" x14ac:dyDescent="0.25">
      <c r="A17" s="130" t="s">
        <v>280</v>
      </c>
      <c r="B17" s="128">
        <f>+'VMT-related Emissions Benefits'!AB49</f>
        <v>212882.87299061404</v>
      </c>
      <c r="C17" s="129">
        <f>+'VMT-related Emissions Benefits'!AC49</f>
        <v>55295.462604883447</v>
      </c>
    </row>
    <row r="18" spans="1:4" ht="20.100000000000001" customHeight="1" x14ac:dyDescent="0.25">
      <c r="A18" s="130" t="s">
        <v>305</v>
      </c>
      <c r="B18" s="128">
        <f>+'Project Costs'!F40</f>
        <v>31980000</v>
      </c>
      <c r="C18" s="161">
        <f>+'Project Costs'!G40</f>
        <v>3429365.6684734998</v>
      </c>
    </row>
    <row r="19" spans="1:4" x14ac:dyDescent="0.25">
      <c r="A19" s="127" t="s">
        <v>5</v>
      </c>
      <c r="B19" s="131">
        <f>SUM(B12:B18)</f>
        <v>159641026.23904902</v>
      </c>
      <c r="C19" s="159">
        <f>SUM(C12:C18)</f>
        <v>99790960.345879316</v>
      </c>
    </row>
    <row r="20" spans="1:4" x14ac:dyDescent="0.25">
      <c r="A20" s="127"/>
      <c r="B20" s="131"/>
      <c r="C20" s="159"/>
    </row>
    <row r="21" spans="1:4" ht="20.100000000000001" customHeight="1" x14ac:dyDescent="0.25">
      <c r="A21" s="127" t="s">
        <v>6</v>
      </c>
      <c r="B21" s="131">
        <f>+B19-B9</f>
        <v>101898026.23904902</v>
      </c>
      <c r="C21" s="159">
        <f>+C19-C9</f>
        <v>50081869.332623668</v>
      </c>
    </row>
    <row r="22" spans="1:4" ht="20.100000000000001" customHeight="1" x14ac:dyDescent="0.25">
      <c r="A22" s="127" t="s">
        <v>7</v>
      </c>
      <c r="B22" s="191">
        <f>+B19/B9</f>
        <v>2.7646818876582273</v>
      </c>
      <c r="C22" s="192">
        <f>+C19/C9</f>
        <v>2.0074991980695969</v>
      </c>
    </row>
    <row r="23" spans="1:4" x14ac:dyDescent="0.25">
      <c r="B23" s="91"/>
      <c r="C23" s="91"/>
    </row>
    <row r="24" spans="1:4" ht="15.75" x14ac:dyDescent="0.25">
      <c r="A24" s="125"/>
      <c r="B24" s="125"/>
      <c r="C24" s="125"/>
      <c r="D24" s="125"/>
    </row>
    <row r="25" spans="1:4" ht="15.75" x14ac:dyDescent="0.25">
      <c r="A25" s="125"/>
    </row>
    <row r="26" spans="1:4" ht="15.75" x14ac:dyDescent="0.25">
      <c r="A26" s="125"/>
    </row>
    <row r="27" spans="1:4" ht="15.75" x14ac:dyDescent="0.25">
      <c r="A27" s="126"/>
    </row>
    <row r="28" spans="1:4" ht="15.75" x14ac:dyDescent="0.25">
      <c r="A28" s="134"/>
    </row>
    <row r="29" spans="1:4" ht="15.75" x14ac:dyDescent="0.25">
      <c r="A29" s="134"/>
    </row>
    <row r="30" spans="1:4" ht="15.75" x14ac:dyDescent="0.25">
      <c r="A30" s="134"/>
    </row>
    <row r="31" spans="1:4" ht="15.75" x14ac:dyDescent="0.25">
      <c r="A31" s="134"/>
    </row>
    <row r="32" spans="1:4" x14ac:dyDescent="0.25">
      <c r="A32" s="58"/>
    </row>
  </sheetData>
  <pageMargins left="0.7" right="0.7" top="0.75" bottom="0.75" header="0.3" footer="0.3"/>
  <pageSetup scale="98" orientation="portrait" r:id="rId1"/>
  <headerFooter>
    <oddFooter>&amp;R&amp;F -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"/>
  <sheetViews>
    <sheetView workbookViewId="0">
      <selection activeCell="A2" sqref="A2"/>
    </sheetView>
  </sheetViews>
  <sheetFormatPr defaultRowHeight="15" x14ac:dyDescent="0.25"/>
  <cols>
    <col min="1" max="1" width="17.140625" customWidth="1"/>
    <col min="2" max="2" width="14.42578125" customWidth="1"/>
    <col min="3" max="3" width="12" customWidth="1"/>
    <col min="4" max="7" width="12.5703125" customWidth="1"/>
    <col min="8" max="8" width="22.140625" customWidth="1"/>
    <col min="10" max="10" width="13.42578125" customWidth="1"/>
    <col min="11" max="11" width="13.5703125" customWidth="1"/>
    <col min="12" max="12" width="14" customWidth="1"/>
    <col min="13" max="13" width="15.5703125" customWidth="1"/>
    <col min="14" max="14" width="11.85546875" customWidth="1"/>
    <col min="15" max="15" width="11.7109375" customWidth="1"/>
  </cols>
  <sheetData>
    <row r="1" spans="1:29" ht="18.75" x14ac:dyDescent="0.3">
      <c r="A1" s="2" t="s">
        <v>335</v>
      </c>
      <c r="I1" s="125"/>
    </row>
    <row r="2" spans="1:29" ht="18.75" x14ac:dyDescent="0.3">
      <c r="A2" s="2"/>
    </row>
    <row r="5" spans="1:29" x14ac:dyDescent="0.25">
      <c r="B5" s="213" t="s">
        <v>92</v>
      </c>
      <c r="C5" s="213"/>
      <c r="D5" s="213"/>
      <c r="E5" s="160"/>
      <c r="F5" s="160" t="s">
        <v>305</v>
      </c>
      <c r="G5" s="160"/>
      <c r="M5" s="213" t="s">
        <v>93</v>
      </c>
      <c r="N5" s="213"/>
      <c r="O5" s="213"/>
    </row>
    <row r="6" spans="1:29" ht="45" x14ac:dyDescent="0.25">
      <c r="A6" s="6" t="s">
        <v>13</v>
      </c>
      <c r="B6" s="7" t="s">
        <v>197</v>
      </c>
      <c r="C6" s="7" t="s">
        <v>21</v>
      </c>
      <c r="D6" s="7" t="s">
        <v>20</v>
      </c>
      <c r="E6" s="7"/>
      <c r="F6" s="7" t="s">
        <v>306</v>
      </c>
      <c r="G6" s="7"/>
      <c r="I6" s="6" t="s">
        <v>13</v>
      </c>
      <c r="J6" s="7" t="s">
        <v>12</v>
      </c>
      <c r="K6" s="7" t="s">
        <v>94</v>
      </c>
      <c r="L6" s="7" t="s">
        <v>95</v>
      </c>
      <c r="M6" s="7" t="s">
        <v>96</v>
      </c>
      <c r="N6" s="7" t="s">
        <v>21</v>
      </c>
      <c r="O6" s="7" t="s">
        <v>20</v>
      </c>
    </row>
    <row r="7" spans="1:29" x14ac:dyDescent="0.25">
      <c r="A7">
        <v>2018</v>
      </c>
      <c r="B7" s="50"/>
      <c r="C7" s="5">
        <f t="shared" ref="C7:C39" si="0">$B7/(1.07^($A7-2018))</f>
        <v>0</v>
      </c>
      <c r="D7" s="5">
        <f t="shared" ref="D7:D39" si="1">$B7/(1.03^($A7-2018))</f>
        <v>0</v>
      </c>
      <c r="E7" s="5"/>
      <c r="F7" s="5"/>
      <c r="G7" s="5"/>
      <c r="I7">
        <v>2018</v>
      </c>
      <c r="K7" s="50">
        <v>147000</v>
      </c>
      <c r="L7" s="50">
        <f>+K7</f>
        <v>147000</v>
      </c>
      <c r="M7" s="50">
        <f>+L7-K7</f>
        <v>0</v>
      </c>
      <c r="N7" s="5">
        <f t="shared" ref="N7:N39" si="2">$M7/(1.07^($A7-2018))</f>
        <v>0</v>
      </c>
      <c r="O7" s="5">
        <f t="shared" ref="O7:O39" si="3">$M7/(1.03^($A7-2018))</f>
        <v>0</v>
      </c>
    </row>
    <row r="8" spans="1:29" x14ac:dyDescent="0.25">
      <c r="A8">
        <f>+A7+1</f>
        <v>2019</v>
      </c>
      <c r="B8" s="50">
        <f>53300000/2</f>
        <v>26650000</v>
      </c>
      <c r="C8" s="5">
        <f t="shared" si="0"/>
        <v>24906542.056074765</v>
      </c>
      <c r="D8" s="5">
        <f t="shared" si="1"/>
        <v>25873786.40776699</v>
      </c>
      <c r="E8" s="5"/>
      <c r="F8" s="5"/>
      <c r="G8" s="5"/>
      <c r="I8">
        <f>+I7+1</f>
        <v>2019</v>
      </c>
      <c r="K8" s="50">
        <f>+K7</f>
        <v>147000</v>
      </c>
      <c r="L8" s="163">
        <f>+K8/2</f>
        <v>73500</v>
      </c>
      <c r="M8" s="50">
        <f t="shared" ref="M8:M39" si="4">+L8-K8</f>
        <v>-73500</v>
      </c>
      <c r="N8" s="5">
        <f t="shared" si="2"/>
        <v>-68691.588785046726</v>
      </c>
      <c r="O8" s="5">
        <f t="shared" si="3"/>
        <v>-71359.223300970873</v>
      </c>
      <c r="Q8" s="162" t="s">
        <v>334</v>
      </c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</row>
    <row r="9" spans="1:29" x14ac:dyDescent="0.25">
      <c r="A9">
        <f t="shared" ref="A9:A37" si="5">+A8+1</f>
        <v>2020</v>
      </c>
      <c r="B9" s="50">
        <f>53300000/2</f>
        <v>26650000</v>
      </c>
      <c r="C9" s="5">
        <f t="shared" si="0"/>
        <v>23277142.108481091</v>
      </c>
      <c r="D9" s="5">
        <f t="shared" si="1"/>
        <v>25120180.978414554</v>
      </c>
      <c r="E9" s="5"/>
      <c r="F9" s="5"/>
      <c r="G9" s="5"/>
      <c r="I9">
        <f t="shared" ref="I9" si="6">+I8+1</f>
        <v>2020</v>
      </c>
      <c r="K9" s="50">
        <f t="shared" ref="K9:K39" si="7">+K8</f>
        <v>147000</v>
      </c>
      <c r="L9" s="163">
        <f>+K9/2</f>
        <v>73500</v>
      </c>
      <c r="M9" s="50">
        <f t="shared" si="4"/>
        <v>-73500</v>
      </c>
      <c r="N9" s="5">
        <f t="shared" si="2"/>
        <v>-64197.74652808105</v>
      </c>
      <c r="O9" s="5">
        <f t="shared" si="3"/>
        <v>-69280.799321330953</v>
      </c>
      <c r="Q9" s="162" t="s">
        <v>334</v>
      </c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</row>
    <row r="10" spans="1:29" x14ac:dyDescent="0.25">
      <c r="A10">
        <f t="shared" si="5"/>
        <v>2021</v>
      </c>
      <c r="B10" s="5"/>
      <c r="C10" s="5">
        <f t="shared" si="0"/>
        <v>0</v>
      </c>
      <c r="D10" s="5">
        <f t="shared" si="1"/>
        <v>0</v>
      </c>
      <c r="E10" s="5"/>
      <c r="F10" s="5"/>
      <c r="G10" s="5"/>
      <c r="I10">
        <f t="shared" ref="I10" si="8">+I9+1</f>
        <v>2021</v>
      </c>
      <c r="J10">
        <v>1</v>
      </c>
      <c r="K10" s="50">
        <f t="shared" si="7"/>
        <v>147000</v>
      </c>
      <c r="L10" s="50">
        <v>300000</v>
      </c>
      <c r="M10" s="50">
        <f t="shared" si="4"/>
        <v>153000</v>
      </c>
      <c r="N10" s="5">
        <f t="shared" si="2"/>
        <v>124893.57516430035</v>
      </c>
      <c r="O10" s="5">
        <f t="shared" si="3"/>
        <v>140016.67388103341</v>
      </c>
    </row>
    <row r="11" spans="1:29" x14ac:dyDescent="0.25">
      <c r="A11">
        <f t="shared" si="5"/>
        <v>2022</v>
      </c>
      <c r="B11" s="5"/>
      <c r="C11" s="5">
        <f t="shared" si="0"/>
        <v>0</v>
      </c>
      <c r="D11" s="5">
        <f t="shared" si="1"/>
        <v>0</v>
      </c>
      <c r="E11" s="5"/>
      <c r="F11" s="5"/>
      <c r="G11" s="5"/>
      <c r="I11">
        <f t="shared" ref="I11" si="9">+I10+1</f>
        <v>2022</v>
      </c>
      <c r="J11">
        <f>+J10+1</f>
        <v>2</v>
      </c>
      <c r="K11" s="50">
        <f t="shared" si="7"/>
        <v>147000</v>
      </c>
      <c r="L11" s="50">
        <f t="shared" ref="L11:L39" si="10">+L10</f>
        <v>300000</v>
      </c>
      <c r="M11" s="50">
        <f t="shared" si="4"/>
        <v>153000</v>
      </c>
      <c r="N11" s="5">
        <f t="shared" si="2"/>
        <v>116722.96744327137</v>
      </c>
      <c r="O11" s="5">
        <f t="shared" si="3"/>
        <v>135938.51833110041</v>
      </c>
    </row>
    <row r="12" spans="1:29" x14ac:dyDescent="0.25">
      <c r="A12">
        <f t="shared" si="5"/>
        <v>2023</v>
      </c>
      <c r="B12" s="5"/>
      <c r="C12" s="5">
        <f t="shared" si="0"/>
        <v>0</v>
      </c>
      <c r="D12" s="5">
        <f t="shared" si="1"/>
        <v>0</v>
      </c>
      <c r="E12" s="5"/>
      <c r="F12" s="5"/>
      <c r="G12" s="5"/>
      <c r="I12">
        <f t="shared" ref="I12" si="11">+I11+1</f>
        <v>2023</v>
      </c>
      <c r="J12">
        <f>+J11+1</f>
        <v>3</v>
      </c>
      <c r="K12" s="50">
        <f t="shared" si="7"/>
        <v>147000</v>
      </c>
      <c r="L12" s="50">
        <f t="shared" si="10"/>
        <v>300000</v>
      </c>
      <c r="M12" s="50">
        <f t="shared" si="4"/>
        <v>153000</v>
      </c>
      <c r="N12" s="5">
        <f t="shared" si="2"/>
        <v>109086.88546100126</v>
      </c>
      <c r="O12" s="5">
        <f t="shared" si="3"/>
        <v>131979.14401077712</v>
      </c>
    </row>
    <row r="13" spans="1:29" x14ac:dyDescent="0.25">
      <c r="A13">
        <f t="shared" si="5"/>
        <v>2024</v>
      </c>
      <c r="B13" s="5"/>
      <c r="C13" s="5">
        <f t="shared" si="0"/>
        <v>0</v>
      </c>
      <c r="D13" s="5">
        <f t="shared" si="1"/>
        <v>0</v>
      </c>
      <c r="E13" s="5"/>
      <c r="F13" s="5"/>
      <c r="G13" s="5"/>
      <c r="I13">
        <f t="shared" ref="I13:J13" si="12">+I12+1</f>
        <v>2024</v>
      </c>
      <c r="J13">
        <f t="shared" si="12"/>
        <v>4</v>
      </c>
      <c r="K13" s="50">
        <f t="shared" si="7"/>
        <v>147000</v>
      </c>
      <c r="L13" s="50">
        <f t="shared" si="10"/>
        <v>300000</v>
      </c>
      <c r="M13" s="50">
        <f t="shared" si="4"/>
        <v>153000</v>
      </c>
      <c r="N13" s="5">
        <f t="shared" si="2"/>
        <v>101950.36024392642</v>
      </c>
      <c r="O13" s="5">
        <f t="shared" si="3"/>
        <v>128135.09127259912</v>
      </c>
    </row>
    <row r="14" spans="1:29" x14ac:dyDescent="0.25">
      <c r="A14">
        <f t="shared" si="5"/>
        <v>2025</v>
      </c>
      <c r="B14" s="5"/>
      <c r="C14" s="5">
        <f t="shared" si="0"/>
        <v>0</v>
      </c>
      <c r="D14" s="5">
        <f t="shared" si="1"/>
        <v>0</v>
      </c>
      <c r="E14" s="5"/>
      <c r="F14" s="5"/>
      <c r="G14" s="5"/>
      <c r="I14">
        <f t="shared" ref="I14:J14" si="13">+I13+1</f>
        <v>2025</v>
      </c>
      <c r="J14">
        <f t="shared" si="13"/>
        <v>5</v>
      </c>
      <c r="K14" s="50">
        <f t="shared" si="7"/>
        <v>147000</v>
      </c>
      <c r="L14" s="50">
        <f t="shared" si="10"/>
        <v>300000</v>
      </c>
      <c r="M14" s="50">
        <f t="shared" si="4"/>
        <v>153000</v>
      </c>
      <c r="N14" s="5">
        <f t="shared" si="2"/>
        <v>95280.710508342439</v>
      </c>
      <c r="O14" s="5">
        <f t="shared" si="3"/>
        <v>124403.00123553313</v>
      </c>
    </row>
    <row r="15" spans="1:29" x14ac:dyDescent="0.25">
      <c r="A15">
        <f t="shared" si="5"/>
        <v>2026</v>
      </c>
      <c r="B15" s="5"/>
      <c r="C15" s="5">
        <f t="shared" si="0"/>
        <v>0</v>
      </c>
      <c r="D15" s="5">
        <f t="shared" si="1"/>
        <v>0</v>
      </c>
      <c r="E15" s="5"/>
      <c r="F15" s="5"/>
      <c r="G15" s="5"/>
      <c r="I15">
        <f t="shared" ref="I15:J15" si="14">+I14+1</f>
        <v>2026</v>
      </c>
      <c r="J15">
        <f t="shared" si="14"/>
        <v>6</v>
      </c>
      <c r="K15" s="50">
        <f t="shared" si="7"/>
        <v>147000</v>
      </c>
      <c r="L15" s="50">
        <f t="shared" si="10"/>
        <v>300000</v>
      </c>
      <c r="M15" s="50">
        <f t="shared" si="4"/>
        <v>153000</v>
      </c>
      <c r="N15" s="5">
        <f t="shared" si="2"/>
        <v>89047.392998450887</v>
      </c>
      <c r="O15" s="5">
        <f t="shared" si="3"/>
        <v>120779.61285003218</v>
      </c>
    </row>
    <row r="16" spans="1:29" x14ac:dyDescent="0.25">
      <c r="A16">
        <f t="shared" si="5"/>
        <v>2027</v>
      </c>
      <c r="B16" s="5"/>
      <c r="C16" s="5">
        <f t="shared" si="0"/>
        <v>0</v>
      </c>
      <c r="D16" s="5">
        <f t="shared" si="1"/>
        <v>0</v>
      </c>
      <c r="E16" s="5"/>
      <c r="F16" s="5"/>
      <c r="G16" s="5"/>
      <c r="I16">
        <f t="shared" ref="I16:J16" si="15">+I15+1</f>
        <v>2027</v>
      </c>
      <c r="J16">
        <f t="shared" si="15"/>
        <v>7</v>
      </c>
      <c r="K16" s="50">
        <f t="shared" si="7"/>
        <v>147000</v>
      </c>
      <c r="L16" s="50">
        <f t="shared" si="10"/>
        <v>300000</v>
      </c>
      <c r="M16" s="50">
        <f t="shared" si="4"/>
        <v>153000</v>
      </c>
      <c r="N16" s="5">
        <f t="shared" si="2"/>
        <v>83221.862615374645</v>
      </c>
      <c r="O16" s="5">
        <f t="shared" si="3"/>
        <v>117261.76004857493</v>
      </c>
    </row>
    <row r="17" spans="1:15" x14ac:dyDescent="0.25">
      <c r="A17">
        <f t="shared" si="5"/>
        <v>2028</v>
      </c>
      <c r="B17" s="5"/>
      <c r="C17" s="5">
        <f t="shared" si="0"/>
        <v>0</v>
      </c>
      <c r="D17" s="5">
        <f t="shared" si="1"/>
        <v>0</v>
      </c>
      <c r="E17" s="5"/>
      <c r="F17" s="5"/>
      <c r="G17" s="5"/>
      <c r="I17">
        <f t="shared" ref="I17:J17" si="16">+I16+1</f>
        <v>2028</v>
      </c>
      <c r="J17">
        <f t="shared" si="16"/>
        <v>8</v>
      </c>
      <c r="K17" s="50">
        <f t="shared" si="7"/>
        <v>147000</v>
      </c>
      <c r="L17" s="50">
        <f t="shared" si="10"/>
        <v>300000</v>
      </c>
      <c r="M17" s="50">
        <f t="shared" si="4"/>
        <v>153000</v>
      </c>
      <c r="N17" s="5">
        <f t="shared" si="2"/>
        <v>77777.44169661183</v>
      </c>
      <c r="O17" s="5">
        <f t="shared" si="3"/>
        <v>113846.36897919896</v>
      </c>
    </row>
    <row r="18" spans="1:15" x14ac:dyDescent="0.25">
      <c r="A18">
        <f t="shared" si="5"/>
        <v>2029</v>
      </c>
      <c r="B18" s="5"/>
      <c r="C18" s="5">
        <f t="shared" si="0"/>
        <v>0</v>
      </c>
      <c r="D18" s="5">
        <f t="shared" si="1"/>
        <v>0</v>
      </c>
      <c r="E18" s="5"/>
      <c r="F18" s="5"/>
      <c r="G18" s="5"/>
      <c r="I18">
        <f t="shared" ref="I18:J18" si="17">+I17+1</f>
        <v>2029</v>
      </c>
      <c r="J18">
        <f t="shared" si="17"/>
        <v>9</v>
      </c>
      <c r="K18" s="50">
        <f t="shared" si="7"/>
        <v>147000</v>
      </c>
      <c r="L18" s="50">
        <f t="shared" si="10"/>
        <v>300000</v>
      </c>
      <c r="M18" s="50">
        <f t="shared" si="4"/>
        <v>153000</v>
      </c>
      <c r="N18" s="5">
        <f t="shared" si="2"/>
        <v>72689.197847300762</v>
      </c>
      <c r="O18" s="5">
        <f t="shared" si="3"/>
        <v>110530.45531961063</v>
      </c>
    </row>
    <row r="19" spans="1:15" x14ac:dyDescent="0.25">
      <c r="A19">
        <f t="shared" si="5"/>
        <v>2030</v>
      </c>
      <c r="B19" s="5"/>
      <c r="C19" s="5">
        <f t="shared" si="0"/>
        <v>0</v>
      </c>
      <c r="D19" s="5">
        <f t="shared" si="1"/>
        <v>0</v>
      </c>
      <c r="E19" s="5"/>
      <c r="F19" s="5"/>
      <c r="G19" s="5"/>
      <c r="I19">
        <f t="shared" ref="I19:J19" si="18">+I18+1</f>
        <v>2030</v>
      </c>
      <c r="J19">
        <f t="shared" si="18"/>
        <v>10</v>
      </c>
      <c r="K19" s="50">
        <f t="shared" si="7"/>
        <v>147000</v>
      </c>
      <c r="L19" s="50">
        <f t="shared" si="10"/>
        <v>300000</v>
      </c>
      <c r="M19" s="50">
        <f t="shared" si="4"/>
        <v>153000</v>
      </c>
      <c r="N19" s="5">
        <f t="shared" si="2"/>
        <v>67933.829763832502</v>
      </c>
      <c r="O19" s="5">
        <f t="shared" si="3"/>
        <v>107311.1216695249</v>
      </c>
    </row>
    <row r="20" spans="1:15" x14ac:dyDescent="0.25">
      <c r="A20">
        <f t="shared" si="5"/>
        <v>2031</v>
      </c>
      <c r="B20" s="5"/>
      <c r="C20" s="5">
        <f t="shared" si="0"/>
        <v>0</v>
      </c>
      <c r="D20" s="5">
        <f t="shared" si="1"/>
        <v>0</v>
      </c>
      <c r="E20" s="5"/>
      <c r="F20" s="5"/>
      <c r="G20" s="5"/>
      <c r="I20">
        <f t="shared" ref="I20:J20" si="19">+I19+1</f>
        <v>2031</v>
      </c>
      <c r="J20">
        <f t="shared" si="19"/>
        <v>11</v>
      </c>
      <c r="K20" s="50">
        <f t="shared" si="7"/>
        <v>147000</v>
      </c>
      <c r="L20" s="50">
        <f t="shared" si="10"/>
        <v>300000</v>
      </c>
      <c r="M20" s="50">
        <f t="shared" si="4"/>
        <v>153000</v>
      </c>
      <c r="N20" s="5">
        <f t="shared" si="2"/>
        <v>63489.560526946254</v>
      </c>
      <c r="O20" s="5">
        <f t="shared" si="3"/>
        <v>104185.55501895622</v>
      </c>
    </row>
    <row r="21" spans="1:15" x14ac:dyDescent="0.25">
      <c r="A21">
        <f t="shared" si="5"/>
        <v>2032</v>
      </c>
      <c r="B21" s="5"/>
      <c r="C21" s="5">
        <f t="shared" si="0"/>
        <v>0</v>
      </c>
      <c r="D21" s="5">
        <f t="shared" si="1"/>
        <v>0</v>
      </c>
      <c r="E21" s="5"/>
      <c r="F21" s="5"/>
      <c r="G21" s="5"/>
      <c r="I21">
        <f t="shared" ref="I21:J21" si="20">+I20+1</f>
        <v>2032</v>
      </c>
      <c r="J21">
        <f t="shared" si="20"/>
        <v>12</v>
      </c>
      <c r="K21" s="50">
        <f t="shared" si="7"/>
        <v>147000</v>
      </c>
      <c r="L21" s="50">
        <f t="shared" si="10"/>
        <v>300000</v>
      </c>
      <c r="M21" s="50">
        <f t="shared" si="4"/>
        <v>153000</v>
      </c>
      <c r="N21" s="5">
        <f t="shared" si="2"/>
        <v>59336.037875650713</v>
      </c>
      <c r="O21" s="5">
        <f t="shared" si="3"/>
        <v>101151.02429024875</v>
      </c>
    </row>
    <row r="22" spans="1:15" x14ac:dyDescent="0.25">
      <c r="A22">
        <f t="shared" si="5"/>
        <v>2033</v>
      </c>
      <c r="B22" s="5"/>
      <c r="C22" s="5">
        <f t="shared" si="0"/>
        <v>0</v>
      </c>
      <c r="D22" s="5">
        <f t="shared" si="1"/>
        <v>0</v>
      </c>
      <c r="E22" s="5"/>
      <c r="F22" s="5"/>
      <c r="G22" s="5"/>
      <c r="I22">
        <f t="shared" ref="I22:J22" si="21">+I21+1</f>
        <v>2033</v>
      </c>
      <c r="J22">
        <f t="shared" si="21"/>
        <v>13</v>
      </c>
      <c r="K22" s="50">
        <f t="shared" si="7"/>
        <v>147000</v>
      </c>
      <c r="L22" s="50">
        <f t="shared" si="10"/>
        <v>300000</v>
      </c>
      <c r="M22" s="50">
        <f t="shared" si="4"/>
        <v>153000</v>
      </c>
      <c r="N22" s="5">
        <f t="shared" si="2"/>
        <v>55454.24100528103</v>
      </c>
      <c r="O22" s="5">
        <f t="shared" si="3"/>
        <v>98204.87795169781</v>
      </c>
    </row>
    <row r="23" spans="1:15" x14ac:dyDescent="0.25">
      <c r="A23">
        <f t="shared" si="5"/>
        <v>2034</v>
      </c>
      <c r="B23" s="5"/>
      <c r="C23" s="5">
        <f t="shared" si="0"/>
        <v>0</v>
      </c>
      <c r="D23" s="5">
        <f t="shared" si="1"/>
        <v>0</v>
      </c>
      <c r="E23" s="5"/>
      <c r="F23" s="5"/>
      <c r="G23" s="5"/>
      <c r="I23">
        <f t="shared" ref="I23:J23" si="22">+I22+1</f>
        <v>2034</v>
      </c>
      <c r="J23">
        <f t="shared" si="22"/>
        <v>14</v>
      </c>
      <c r="K23" s="50">
        <f t="shared" si="7"/>
        <v>147000</v>
      </c>
      <c r="L23" s="50">
        <f t="shared" si="10"/>
        <v>300000</v>
      </c>
      <c r="M23" s="50">
        <f t="shared" si="4"/>
        <v>153000</v>
      </c>
      <c r="N23" s="5">
        <f t="shared" si="2"/>
        <v>51826.393462879474</v>
      </c>
      <c r="O23" s="5">
        <f t="shared" si="3"/>
        <v>95344.541700677495</v>
      </c>
    </row>
    <row r="24" spans="1:15" x14ac:dyDescent="0.25">
      <c r="A24">
        <f t="shared" si="5"/>
        <v>2035</v>
      </c>
      <c r="B24" s="5"/>
      <c r="C24" s="5">
        <f t="shared" si="0"/>
        <v>0</v>
      </c>
      <c r="D24" s="5">
        <f t="shared" si="1"/>
        <v>0</v>
      </c>
      <c r="E24" s="5"/>
      <c r="F24" s="5"/>
      <c r="G24" s="5"/>
      <c r="I24">
        <f t="shared" ref="I24:J24" si="23">+I23+1</f>
        <v>2035</v>
      </c>
      <c r="J24">
        <f t="shared" si="23"/>
        <v>15</v>
      </c>
      <c r="K24" s="50">
        <f t="shared" si="7"/>
        <v>147000</v>
      </c>
      <c r="L24" s="50">
        <f t="shared" si="10"/>
        <v>300000</v>
      </c>
      <c r="M24" s="50">
        <f t="shared" si="4"/>
        <v>153000</v>
      </c>
      <c r="N24" s="5">
        <f t="shared" si="2"/>
        <v>48435.881741008852</v>
      </c>
      <c r="O24" s="5">
        <f t="shared" si="3"/>
        <v>92567.516214250005</v>
      </c>
    </row>
    <row r="25" spans="1:15" x14ac:dyDescent="0.25">
      <c r="A25">
        <f t="shared" si="5"/>
        <v>2036</v>
      </c>
      <c r="B25" s="5"/>
      <c r="C25" s="5">
        <f t="shared" si="0"/>
        <v>0</v>
      </c>
      <c r="D25" s="5">
        <f t="shared" si="1"/>
        <v>0</v>
      </c>
      <c r="E25" s="5"/>
      <c r="F25" s="5"/>
      <c r="G25" s="5"/>
      <c r="I25">
        <f t="shared" ref="I25:J25" si="24">+I24+1</f>
        <v>2036</v>
      </c>
      <c r="J25">
        <f t="shared" si="24"/>
        <v>16</v>
      </c>
      <c r="K25" s="50">
        <f t="shared" si="7"/>
        <v>147000</v>
      </c>
      <c r="L25" s="50">
        <f t="shared" si="10"/>
        <v>300000</v>
      </c>
      <c r="M25" s="50">
        <f t="shared" si="4"/>
        <v>153000</v>
      </c>
      <c r="N25" s="5">
        <f t="shared" si="2"/>
        <v>45267.179197204532</v>
      </c>
      <c r="O25" s="5">
        <f t="shared" si="3"/>
        <v>89871.374965291252</v>
      </c>
    </row>
    <row r="26" spans="1:15" x14ac:dyDescent="0.25">
      <c r="A26">
        <f t="shared" si="5"/>
        <v>2037</v>
      </c>
      <c r="B26" s="5"/>
      <c r="C26" s="5">
        <f t="shared" si="0"/>
        <v>0</v>
      </c>
      <c r="D26" s="5">
        <f t="shared" si="1"/>
        <v>0</v>
      </c>
      <c r="E26" s="5"/>
      <c r="F26" s="5"/>
      <c r="G26" s="5"/>
      <c r="I26">
        <f t="shared" ref="I26:J26" si="25">+I25+1</f>
        <v>2037</v>
      </c>
      <c r="J26">
        <f t="shared" si="25"/>
        <v>17</v>
      </c>
      <c r="K26" s="50">
        <f t="shared" si="7"/>
        <v>147000</v>
      </c>
      <c r="L26" s="50">
        <f t="shared" si="10"/>
        <v>300000</v>
      </c>
      <c r="M26" s="50">
        <f t="shared" si="4"/>
        <v>153000</v>
      </c>
      <c r="N26" s="5">
        <f t="shared" si="2"/>
        <v>42305.774950658444</v>
      </c>
      <c r="O26" s="5">
        <f t="shared" si="3"/>
        <v>87253.762102224529</v>
      </c>
    </row>
    <row r="27" spans="1:15" x14ac:dyDescent="0.25">
      <c r="A27">
        <f t="shared" si="5"/>
        <v>2038</v>
      </c>
      <c r="B27" s="5"/>
      <c r="C27" s="5">
        <f t="shared" si="0"/>
        <v>0</v>
      </c>
      <c r="D27" s="5">
        <f t="shared" si="1"/>
        <v>0</v>
      </c>
      <c r="E27" s="5"/>
      <c r="F27" s="5"/>
      <c r="G27" s="5"/>
      <c r="I27">
        <f t="shared" ref="I27:J27" si="26">+I26+1</f>
        <v>2038</v>
      </c>
      <c r="J27">
        <f t="shared" si="26"/>
        <v>18</v>
      </c>
      <c r="K27" s="50">
        <f t="shared" si="7"/>
        <v>147000</v>
      </c>
      <c r="L27" s="50">
        <f t="shared" si="10"/>
        <v>300000</v>
      </c>
      <c r="M27" s="50">
        <f t="shared" si="4"/>
        <v>153000</v>
      </c>
      <c r="N27" s="5">
        <f t="shared" si="2"/>
        <v>39538.107430521908</v>
      </c>
      <c r="O27" s="5">
        <f t="shared" si="3"/>
        <v>84712.390390509245</v>
      </c>
    </row>
    <row r="28" spans="1:15" x14ac:dyDescent="0.25">
      <c r="A28">
        <f t="shared" si="5"/>
        <v>2039</v>
      </c>
      <c r="B28" s="5"/>
      <c r="C28" s="5">
        <f t="shared" si="0"/>
        <v>0</v>
      </c>
      <c r="D28" s="5">
        <f t="shared" si="1"/>
        <v>0</v>
      </c>
      <c r="E28" s="5"/>
      <c r="F28" s="5"/>
      <c r="G28" s="5"/>
      <c r="I28">
        <f t="shared" ref="I28:J28" si="27">+I27+1</f>
        <v>2039</v>
      </c>
      <c r="J28">
        <f t="shared" si="27"/>
        <v>19</v>
      </c>
      <c r="K28" s="50">
        <f t="shared" si="7"/>
        <v>147000</v>
      </c>
      <c r="L28" s="50">
        <f t="shared" si="10"/>
        <v>300000</v>
      </c>
      <c r="M28" s="50">
        <f t="shared" si="4"/>
        <v>153000</v>
      </c>
      <c r="N28" s="5">
        <f t="shared" si="2"/>
        <v>36951.502271515805</v>
      </c>
      <c r="O28" s="5">
        <f t="shared" si="3"/>
        <v>82245.039214086661</v>
      </c>
    </row>
    <row r="29" spans="1:15" x14ac:dyDescent="0.25">
      <c r="A29">
        <f t="shared" si="5"/>
        <v>2040</v>
      </c>
      <c r="B29" s="5"/>
      <c r="C29" s="5">
        <f t="shared" si="0"/>
        <v>0</v>
      </c>
      <c r="D29" s="5">
        <f t="shared" si="1"/>
        <v>0</v>
      </c>
      <c r="E29" s="5"/>
      <c r="F29" s="5"/>
      <c r="G29" s="5"/>
      <c r="I29">
        <f t="shared" ref="I29:J29" si="28">+I28+1</f>
        <v>2040</v>
      </c>
      <c r="J29">
        <f t="shared" si="28"/>
        <v>20</v>
      </c>
      <c r="K29" s="50">
        <f t="shared" si="7"/>
        <v>147000</v>
      </c>
      <c r="L29" s="50">
        <f t="shared" si="10"/>
        <v>300000</v>
      </c>
      <c r="M29" s="50">
        <f t="shared" si="4"/>
        <v>153000</v>
      </c>
      <c r="N29" s="5">
        <f t="shared" si="2"/>
        <v>34534.114272444676</v>
      </c>
      <c r="O29" s="5">
        <f t="shared" si="3"/>
        <v>79849.552635035579</v>
      </c>
    </row>
    <row r="30" spans="1:15" x14ac:dyDescent="0.25">
      <c r="A30">
        <f t="shared" si="5"/>
        <v>2041</v>
      </c>
      <c r="B30" s="5"/>
      <c r="C30" s="5">
        <f t="shared" si="0"/>
        <v>0</v>
      </c>
      <c r="D30" s="5">
        <f t="shared" si="1"/>
        <v>0</v>
      </c>
      <c r="E30" s="5"/>
      <c r="F30" s="5"/>
      <c r="G30" s="5"/>
      <c r="I30">
        <f t="shared" ref="I30:J30" si="29">+I29+1</f>
        <v>2041</v>
      </c>
      <c r="J30">
        <f t="shared" si="29"/>
        <v>21</v>
      </c>
      <c r="K30" s="50">
        <f t="shared" si="7"/>
        <v>147000</v>
      </c>
      <c r="L30" s="50">
        <f t="shared" si="10"/>
        <v>300000</v>
      </c>
      <c r="M30" s="50">
        <f t="shared" si="4"/>
        <v>153000</v>
      </c>
      <c r="N30" s="5">
        <f t="shared" si="2"/>
        <v>32274.873151817454</v>
      </c>
      <c r="O30" s="5">
        <f t="shared" si="3"/>
        <v>77523.837509743287</v>
      </c>
    </row>
    <row r="31" spans="1:15" x14ac:dyDescent="0.25">
      <c r="A31">
        <f t="shared" si="5"/>
        <v>2042</v>
      </c>
      <c r="B31" s="5"/>
      <c r="C31" s="5">
        <f t="shared" si="0"/>
        <v>0</v>
      </c>
      <c r="D31" s="5">
        <f t="shared" si="1"/>
        <v>0</v>
      </c>
      <c r="E31" s="5"/>
      <c r="F31" s="5"/>
      <c r="G31" s="5"/>
      <c r="I31">
        <f t="shared" ref="I31:J31" si="30">+I30+1</f>
        <v>2042</v>
      </c>
      <c r="J31">
        <f t="shared" si="30"/>
        <v>22</v>
      </c>
      <c r="K31" s="50">
        <f t="shared" si="7"/>
        <v>147000</v>
      </c>
      <c r="L31" s="50">
        <f t="shared" si="10"/>
        <v>300000</v>
      </c>
      <c r="M31" s="50">
        <f t="shared" si="4"/>
        <v>153000</v>
      </c>
      <c r="N31" s="5">
        <f t="shared" si="2"/>
        <v>30163.432852165843</v>
      </c>
      <c r="O31" s="5">
        <f t="shared" si="3"/>
        <v>75265.861659944945</v>
      </c>
    </row>
    <row r="32" spans="1:15" x14ac:dyDescent="0.25">
      <c r="A32">
        <f t="shared" si="5"/>
        <v>2043</v>
      </c>
      <c r="B32" s="5"/>
      <c r="C32" s="5">
        <f t="shared" si="0"/>
        <v>0</v>
      </c>
      <c r="D32" s="5">
        <f t="shared" si="1"/>
        <v>0</v>
      </c>
      <c r="E32" s="5"/>
      <c r="F32" s="5"/>
      <c r="G32" s="5"/>
      <c r="I32">
        <f t="shared" ref="I32:J32" si="31">+I31+1</f>
        <v>2043</v>
      </c>
      <c r="J32">
        <f t="shared" si="31"/>
        <v>23</v>
      </c>
      <c r="K32" s="50">
        <f t="shared" si="7"/>
        <v>147000</v>
      </c>
      <c r="L32" s="50">
        <f t="shared" si="10"/>
        <v>300000</v>
      </c>
      <c r="M32" s="50">
        <f t="shared" si="4"/>
        <v>153000</v>
      </c>
      <c r="N32" s="5">
        <f t="shared" si="2"/>
        <v>28190.124160902655</v>
      </c>
      <c r="O32" s="5">
        <f t="shared" si="3"/>
        <v>73073.652097033933</v>
      </c>
    </row>
    <row r="33" spans="1:15" x14ac:dyDescent="0.25">
      <c r="A33">
        <f t="shared" si="5"/>
        <v>2044</v>
      </c>
      <c r="B33" s="5"/>
      <c r="C33" s="5">
        <f t="shared" si="0"/>
        <v>0</v>
      </c>
      <c r="D33" s="5">
        <f t="shared" si="1"/>
        <v>0</v>
      </c>
      <c r="E33" s="5"/>
      <c r="F33" s="5"/>
      <c r="G33" s="5"/>
      <c r="I33">
        <f t="shared" ref="I33:J33" si="32">+I32+1</f>
        <v>2044</v>
      </c>
      <c r="J33">
        <f t="shared" si="32"/>
        <v>24</v>
      </c>
      <c r="K33" s="50">
        <f t="shared" si="7"/>
        <v>147000</v>
      </c>
      <c r="L33" s="50">
        <f t="shared" si="10"/>
        <v>300000</v>
      </c>
      <c r="M33" s="50">
        <f t="shared" si="4"/>
        <v>153000</v>
      </c>
      <c r="N33" s="5">
        <f t="shared" si="2"/>
        <v>26345.910430750147</v>
      </c>
      <c r="O33" s="5">
        <f t="shared" si="3"/>
        <v>70945.293298091186</v>
      </c>
    </row>
    <row r="34" spans="1:15" x14ac:dyDescent="0.25">
      <c r="A34">
        <f t="shared" si="5"/>
        <v>2045</v>
      </c>
      <c r="B34" s="5"/>
      <c r="C34" s="5">
        <f t="shared" si="0"/>
        <v>0</v>
      </c>
      <c r="D34" s="5">
        <f t="shared" si="1"/>
        <v>0</v>
      </c>
      <c r="E34" s="5"/>
      <c r="F34" s="5"/>
      <c r="G34" s="5"/>
      <c r="I34">
        <f t="shared" ref="I34:J34" si="33">+I33+1</f>
        <v>2045</v>
      </c>
      <c r="J34">
        <f t="shared" si="33"/>
        <v>25</v>
      </c>
      <c r="K34" s="50">
        <f t="shared" si="7"/>
        <v>147000</v>
      </c>
      <c r="L34" s="50">
        <f t="shared" si="10"/>
        <v>300000</v>
      </c>
      <c r="M34" s="50">
        <f t="shared" si="4"/>
        <v>153000</v>
      </c>
      <c r="N34" s="5">
        <f t="shared" si="2"/>
        <v>24622.34619696275</v>
      </c>
      <c r="O34" s="5">
        <f t="shared" si="3"/>
        <v>68878.925532127367</v>
      </c>
    </row>
    <row r="35" spans="1:15" x14ac:dyDescent="0.25">
      <c r="A35">
        <f t="shared" si="5"/>
        <v>2046</v>
      </c>
      <c r="B35" s="5"/>
      <c r="C35" s="5">
        <f t="shared" si="0"/>
        <v>0</v>
      </c>
      <c r="D35" s="5">
        <f t="shared" si="1"/>
        <v>0</v>
      </c>
      <c r="E35" s="5"/>
      <c r="F35" s="5"/>
      <c r="G35" s="5"/>
      <c r="I35">
        <f t="shared" ref="I35:J35" si="34">+I34+1</f>
        <v>2046</v>
      </c>
      <c r="J35">
        <f t="shared" si="34"/>
        <v>26</v>
      </c>
      <c r="K35" s="50">
        <f t="shared" si="7"/>
        <v>147000</v>
      </c>
      <c r="L35" s="50">
        <f t="shared" si="10"/>
        <v>300000</v>
      </c>
      <c r="M35" s="50">
        <f t="shared" si="4"/>
        <v>153000</v>
      </c>
      <c r="N35" s="5">
        <f t="shared" si="2"/>
        <v>23011.538501834351</v>
      </c>
      <c r="O35" s="5">
        <f t="shared" si="3"/>
        <v>66872.743235075119</v>
      </c>
    </row>
    <row r="36" spans="1:15" x14ac:dyDescent="0.25">
      <c r="A36">
        <f t="shared" si="5"/>
        <v>2047</v>
      </c>
      <c r="B36" s="5"/>
      <c r="C36" s="5">
        <f t="shared" si="0"/>
        <v>0</v>
      </c>
      <c r="D36" s="5">
        <f t="shared" si="1"/>
        <v>0</v>
      </c>
      <c r="E36" s="5"/>
      <c r="F36" s="5"/>
      <c r="G36" s="5"/>
      <c r="I36">
        <f t="shared" ref="I36:J36" si="35">+I35+1</f>
        <v>2047</v>
      </c>
      <c r="J36">
        <f t="shared" si="35"/>
        <v>27</v>
      </c>
      <c r="K36" s="50">
        <f t="shared" si="7"/>
        <v>147000</v>
      </c>
      <c r="L36" s="50">
        <f t="shared" si="10"/>
        <v>300000</v>
      </c>
      <c r="M36" s="50">
        <f t="shared" si="4"/>
        <v>153000</v>
      </c>
      <c r="N36" s="5">
        <f t="shared" si="2"/>
        <v>21506.110749377898</v>
      </c>
      <c r="O36" s="5">
        <f t="shared" si="3"/>
        <v>64924.993432111769</v>
      </c>
    </row>
    <row r="37" spans="1:15" x14ac:dyDescent="0.25">
      <c r="A37">
        <f t="shared" si="5"/>
        <v>2048</v>
      </c>
      <c r="B37" s="5"/>
      <c r="C37" s="5">
        <f t="shared" si="0"/>
        <v>0</v>
      </c>
      <c r="D37" s="5">
        <f t="shared" si="1"/>
        <v>0</v>
      </c>
      <c r="E37" s="5"/>
      <c r="F37" s="5"/>
      <c r="G37" s="5"/>
      <c r="I37">
        <f t="shared" ref="I37:J37" si="36">+I36+1</f>
        <v>2048</v>
      </c>
      <c r="J37">
        <f t="shared" si="36"/>
        <v>28</v>
      </c>
      <c r="K37" s="50">
        <f t="shared" si="7"/>
        <v>147000</v>
      </c>
      <c r="L37" s="50">
        <f t="shared" si="10"/>
        <v>300000</v>
      </c>
      <c r="M37" s="50">
        <f t="shared" si="4"/>
        <v>153000</v>
      </c>
      <c r="N37" s="5">
        <f t="shared" si="2"/>
        <v>20099.16892465224</v>
      </c>
      <c r="O37" s="5">
        <f t="shared" si="3"/>
        <v>63033.974205933759</v>
      </c>
    </row>
    <row r="38" spans="1:15" x14ac:dyDescent="0.25">
      <c r="A38">
        <f t="shared" ref="A38" si="37">+A37+1</f>
        <v>2049</v>
      </c>
      <c r="B38" s="5"/>
      <c r="C38" s="5">
        <f t="shared" si="0"/>
        <v>0</v>
      </c>
      <c r="D38" s="5">
        <f t="shared" si="1"/>
        <v>0</v>
      </c>
      <c r="E38" s="5"/>
      <c r="F38" s="8" t="s">
        <v>307</v>
      </c>
      <c r="G38" s="9"/>
      <c r="I38">
        <f t="shared" ref="I38:J38" si="38">+I37+1</f>
        <v>2049</v>
      </c>
      <c r="J38">
        <f t="shared" si="38"/>
        <v>29</v>
      </c>
      <c r="K38" s="50">
        <f t="shared" si="7"/>
        <v>147000</v>
      </c>
      <c r="L38" s="50">
        <f t="shared" si="10"/>
        <v>300000</v>
      </c>
      <c r="M38" s="50">
        <f t="shared" si="4"/>
        <v>153000</v>
      </c>
      <c r="N38" s="5">
        <f t="shared" si="2"/>
        <v>18784.270023039473</v>
      </c>
      <c r="O38" s="5">
        <f t="shared" si="3"/>
        <v>61198.033209644411</v>
      </c>
    </row>
    <row r="39" spans="1:15" x14ac:dyDescent="0.25">
      <c r="A39">
        <f t="shared" ref="A39" si="39">+A38+1</f>
        <v>2050</v>
      </c>
      <c r="B39" s="5"/>
      <c r="C39" s="5">
        <f t="shared" si="0"/>
        <v>0</v>
      </c>
      <c r="D39" s="5">
        <f t="shared" si="1"/>
        <v>0</v>
      </c>
      <c r="E39" s="5"/>
      <c r="F39" s="49" t="s">
        <v>308</v>
      </c>
      <c r="G39" s="224" t="s">
        <v>309</v>
      </c>
      <c r="I39">
        <f t="shared" ref="I39:J39" si="40">+I38+1</f>
        <v>2050</v>
      </c>
      <c r="J39">
        <f t="shared" si="40"/>
        <v>30</v>
      </c>
      <c r="K39" s="50">
        <f t="shared" si="7"/>
        <v>147000</v>
      </c>
      <c r="L39" s="50">
        <f t="shared" si="10"/>
        <v>300000</v>
      </c>
      <c r="M39" s="50">
        <f t="shared" si="4"/>
        <v>153000</v>
      </c>
      <c r="N39" s="5">
        <f t="shared" si="2"/>
        <v>17555.392544896706</v>
      </c>
      <c r="O39" s="5">
        <f t="shared" si="3"/>
        <v>59415.566222955757</v>
      </c>
    </row>
    <row r="40" spans="1:15" x14ac:dyDescent="0.25">
      <c r="A40" t="s">
        <v>23</v>
      </c>
      <c r="B40" s="11">
        <f>SUM(B7:B39)</f>
        <v>53300000</v>
      </c>
      <c r="C40" s="11">
        <f>SUM(C7:C39)</f>
        <v>48183684.164555855</v>
      </c>
      <c r="D40" s="11">
        <f>SUM(D7:D39)</f>
        <v>50993967.386181548</v>
      </c>
      <c r="E40" s="11"/>
      <c r="F40" s="225">
        <f>+(75-30)/75*B40</f>
        <v>31980000</v>
      </c>
      <c r="G40" s="225">
        <f>F40/(1.07^(2051-2018))</f>
        <v>3429365.6684734998</v>
      </c>
      <c r="I40" t="s">
        <v>23</v>
      </c>
      <c r="K40" s="11">
        <f t="shared" ref="K40:L40" si="41">SUM(K7:K39)</f>
        <v>4851000</v>
      </c>
      <c r="L40" s="11">
        <f t="shared" si="41"/>
        <v>9294000</v>
      </c>
      <c r="M40" s="11">
        <f>SUM(M7:M39)</f>
        <v>4443000</v>
      </c>
      <c r="N40" s="11">
        <f>SUM(N7:N39)</f>
        <v>1525406.8486997955</v>
      </c>
      <c r="O40" s="11">
        <f>SUM(O7:O39)</f>
        <v>2686080.2398613221</v>
      </c>
    </row>
  </sheetData>
  <mergeCells count="2">
    <mergeCell ref="B5:D5"/>
    <mergeCell ref="M5:O5"/>
  </mergeCells>
  <pageMargins left="0.7" right="0.7" top="0.75" bottom="0.75" header="0.3" footer="0.3"/>
  <pageSetup scale="79" orientation="landscape" horizontalDpi="300" verticalDpi="0" r:id="rId1"/>
  <headerFooter>
    <oddFooter>&amp;R&amp;F - 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/>
  </sheetViews>
  <sheetFormatPr defaultRowHeight="15" x14ac:dyDescent="0.25"/>
  <cols>
    <col min="2" max="2" width="12.42578125" customWidth="1"/>
    <col min="3" max="3" width="15" customWidth="1"/>
    <col min="4" max="4" width="16.42578125" customWidth="1"/>
    <col min="5" max="5" width="16" customWidth="1"/>
    <col min="6" max="6" width="14" customWidth="1"/>
    <col min="7" max="7" width="12.42578125" customWidth="1"/>
    <col min="8" max="8" width="11.5703125" bestFit="1" customWidth="1"/>
  </cols>
  <sheetData>
    <row r="1" spans="1:7" ht="18.75" x14ac:dyDescent="0.3">
      <c r="A1" s="2" t="s">
        <v>15</v>
      </c>
    </row>
    <row r="3" spans="1:7" x14ac:dyDescent="0.25">
      <c r="A3" t="s">
        <v>262</v>
      </c>
    </row>
    <row r="6" spans="1:7" x14ac:dyDescent="0.25">
      <c r="C6" t="s">
        <v>16</v>
      </c>
      <c r="D6" t="s">
        <v>17</v>
      </c>
      <c r="E6" s="214" t="s">
        <v>19</v>
      </c>
      <c r="F6" s="214"/>
      <c r="G6" s="214"/>
    </row>
    <row r="7" spans="1:7" ht="45" x14ac:dyDescent="0.25">
      <c r="A7" s="6" t="s">
        <v>13</v>
      </c>
      <c r="B7" s="7" t="s">
        <v>12</v>
      </c>
      <c r="C7" s="7" t="s">
        <v>18</v>
      </c>
      <c r="D7" s="7" t="s">
        <v>18</v>
      </c>
      <c r="E7" s="7" t="s">
        <v>22</v>
      </c>
      <c r="F7" s="7" t="s">
        <v>21</v>
      </c>
      <c r="G7" s="7" t="s">
        <v>20</v>
      </c>
    </row>
    <row r="8" spans="1:7" x14ac:dyDescent="0.25">
      <c r="A8">
        <v>2018</v>
      </c>
      <c r="C8" s="5">
        <f>+E48</f>
        <v>5759.7465091299682</v>
      </c>
      <c r="D8" s="5">
        <f>+C8</f>
        <v>5759.7465091299682</v>
      </c>
      <c r="E8" s="5">
        <f>+C8-D8</f>
        <v>0</v>
      </c>
      <c r="F8" s="5">
        <f>$E8/(1.07^($A8-2018))</f>
        <v>0</v>
      </c>
      <c r="G8" s="5">
        <f>$E8/(1.03^($A8-2018))</f>
        <v>0</v>
      </c>
    </row>
    <row r="9" spans="1:7" x14ac:dyDescent="0.25">
      <c r="A9">
        <f>+A8+1</f>
        <v>2019</v>
      </c>
      <c r="C9" s="5">
        <f>+C8</f>
        <v>5759.7465091299682</v>
      </c>
      <c r="D9" s="5">
        <f>+C9</f>
        <v>5759.7465091299682</v>
      </c>
      <c r="E9" s="5">
        <f t="shared" ref="E9:E10" si="0">+C9-D9</f>
        <v>0</v>
      </c>
      <c r="F9" s="5">
        <f t="shared" ref="F9:F40" si="1">$E9/(1.07^($A9-2018))</f>
        <v>0</v>
      </c>
      <c r="G9" s="5">
        <f t="shared" ref="G9:G40" si="2">$E9/(1.03^($A9-2018))</f>
        <v>0</v>
      </c>
    </row>
    <row r="10" spans="1:7" x14ac:dyDescent="0.25">
      <c r="A10">
        <f t="shared" ref="A10:A40" si="3">+A9+1</f>
        <v>2020</v>
      </c>
      <c r="C10" s="5">
        <f>+C9</f>
        <v>5759.7465091299682</v>
      </c>
      <c r="D10" s="5">
        <v>0</v>
      </c>
      <c r="E10" s="5">
        <f t="shared" si="0"/>
        <v>5759.7465091299682</v>
      </c>
      <c r="F10" s="5">
        <f t="shared" si="1"/>
        <v>5030.7856661105498</v>
      </c>
      <c r="G10" s="5">
        <f t="shared" si="2"/>
        <v>5429.1134971533311</v>
      </c>
    </row>
    <row r="11" spans="1:7" x14ac:dyDescent="0.25">
      <c r="A11">
        <f t="shared" si="3"/>
        <v>2021</v>
      </c>
      <c r="B11">
        <f>+B10+1</f>
        <v>1</v>
      </c>
      <c r="C11" s="5">
        <f t="shared" ref="C11:C38" si="4">+C10</f>
        <v>5759.7465091299682</v>
      </c>
      <c r="D11" s="5">
        <v>0</v>
      </c>
      <c r="E11" s="5">
        <f t="shared" ref="E11:E38" si="5">+C11-D11</f>
        <v>5759.7465091299682</v>
      </c>
      <c r="F11" s="5">
        <f t="shared" si="1"/>
        <v>4701.6688468322891</v>
      </c>
      <c r="G11" s="5">
        <f t="shared" si="2"/>
        <v>5270.983977818767</v>
      </c>
    </row>
    <row r="12" spans="1:7" x14ac:dyDescent="0.25">
      <c r="A12">
        <f t="shared" si="3"/>
        <v>2022</v>
      </c>
      <c r="B12">
        <f>+B11+1</f>
        <v>2</v>
      </c>
      <c r="C12" s="5">
        <f t="shared" si="4"/>
        <v>5759.7465091299682</v>
      </c>
      <c r="D12" s="5">
        <v>0</v>
      </c>
      <c r="E12" s="5">
        <f t="shared" si="5"/>
        <v>5759.7465091299682</v>
      </c>
      <c r="F12" s="5">
        <f t="shared" si="1"/>
        <v>4394.0830344227006</v>
      </c>
      <c r="G12" s="5">
        <f t="shared" si="2"/>
        <v>5117.4601726395804</v>
      </c>
    </row>
    <row r="13" spans="1:7" x14ac:dyDescent="0.25">
      <c r="A13">
        <f t="shared" si="3"/>
        <v>2023</v>
      </c>
      <c r="B13">
        <f>+B12+1</f>
        <v>3</v>
      </c>
      <c r="C13" s="5">
        <f t="shared" si="4"/>
        <v>5759.7465091299682</v>
      </c>
      <c r="D13" s="5">
        <v>0</v>
      </c>
      <c r="E13" s="5">
        <f t="shared" si="5"/>
        <v>5759.7465091299682</v>
      </c>
      <c r="F13" s="5">
        <f t="shared" si="1"/>
        <v>4106.6196583389719</v>
      </c>
      <c r="G13" s="5">
        <f t="shared" si="2"/>
        <v>4968.4079346015342</v>
      </c>
    </row>
    <row r="14" spans="1:7" x14ac:dyDescent="0.25">
      <c r="A14">
        <f t="shared" si="3"/>
        <v>2024</v>
      </c>
      <c r="B14">
        <f t="shared" ref="B14:B40" si="6">+B13+1</f>
        <v>4</v>
      </c>
      <c r="C14" s="5">
        <f t="shared" si="4"/>
        <v>5759.7465091299682</v>
      </c>
      <c r="D14" s="5">
        <v>0</v>
      </c>
      <c r="E14" s="5">
        <f t="shared" si="5"/>
        <v>5759.7465091299682</v>
      </c>
      <c r="F14" s="5">
        <f t="shared" si="1"/>
        <v>3837.9622975130578</v>
      </c>
      <c r="G14" s="5">
        <f t="shared" si="2"/>
        <v>4823.6970238849844</v>
      </c>
    </row>
    <row r="15" spans="1:7" x14ac:dyDescent="0.25">
      <c r="A15">
        <f t="shared" si="3"/>
        <v>2025</v>
      </c>
      <c r="B15">
        <f t="shared" si="6"/>
        <v>5</v>
      </c>
      <c r="C15" s="5">
        <f t="shared" si="4"/>
        <v>5759.7465091299682</v>
      </c>
      <c r="D15" s="5">
        <v>0</v>
      </c>
      <c r="E15" s="5">
        <f t="shared" si="5"/>
        <v>5759.7465091299682</v>
      </c>
      <c r="F15" s="5">
        <f t="shared" si="1"/>
        <v>3586.8806518813626</v>
      </c>
      <c r="G15" s="5">
        <f t="shared" si="2"/>
        <v>4683.2009940630915</v>
      </c>
    </row>
    <row r="16" spans="1:7" x14ac:dyDescent="0.25">
      <c r="A16">
        <f t="shared" si="3"/>
        <v>2026</v>
      </c>
      <c r="B16">
        <f t="shared" si="6"/>
        <v>6</v>
      </c>
      <c r="C16" s="5">
        <f t="shared" si="4"/>
        <v>5759.7465091299682</v>
      </c>
      <c r="D16" s="5">
        <v>0</v>
      </c>
      <c r="E16" s="5">
        <f t="shared" si="5"/>
        <v>5759.7465091299682</v>
      </c>
      <c r="F16" s="5">
        <f t="shared" si="1"/>
        <v>3352.2249083003389</v>
      </c>
      <c r="G16" s="5">
        <f t="shared" si="2"/>
        <v>4546.7970816146526</v>
      </c>
    </row>
    <row r="17" spans="1:7" x14ac:dyDescent="0.25">
      <c r="A17">
        <f t="shared" si="3"/>
        <v>2027</v>
      </c>
      <c r="B17">
        <f t="shared" si="6"/>
        <v>7</v>
      </c>
      <c r="C17" s="5">
        <f t="shared" si="4"/>
        <v>5759.7465091299682</v>
      </c>
      <c r="D17" s="5">
        <v>0</v>
      </c>
      <c r="E17" s="5">
        <f t="shared" si="5"/>
        <v>5759.7465091299682</v>
      </c>
      <c r="F17" s="5">
        <f t="shared" si="1"/>
        <v>3132.9204750470453</v>
      </c>
      <c r="G17" s="5">
        <f t="shared" si="2"/>
        <v>4414.3660986550021</v>
      </c>
    </row>
    <row r="18" spans="1:7" x14ac:dyDescent="0.25">
      <c r="A18">
        <f t="shared" si="3"/>
        <v>2028</v>
      </c>
      <c r="B18">
        <f t="shared" si="6"/>
        <v>8</v>
      </c>
      <c r="C18" s="5">
        <f t="shared" si="4"/>
        <v>5759.7465091299682</v>
      </c>
      <c r="D18" s="5">
        <v>0</v>
      </c>
      <c r="E18" s="5">
        <f t="shared" si="5"/>
        <v>5759.7465091299682</v>
      </c>
      <c r="F18" s="5">
        <f t="shared" si="1"/>
        <v>2927.9630607916311</v>
      </c>
      <c r="G18" s="5">
        <f t="shared" si="2"/>
        <v>4285.7923287912645</v>
      </c>
    </row>
    <row r="19" spans="1:7" x14ac:dyDescent="0.25">
      <c r="A19">
        <f t="shared" si="3"/>
        <v>2029</v>
      </c>
      <c r="B19">
        <f t="shared" si="6"/>
        <v>9</v>
      </c>
      <c r="C19" s="5">
        <f t="shared" si="4"/>
        <v>5759.7465091299682</v>
      </c>
      <c r="D19" s="5">
        <v>0</v>
      </c>
      <c r="E19" s="5">
        <f t="shared" si="5"/>
        <v>5759.7465091299682</v>
      </c>
      <c r="F19" s="5">
        <f t="shared" si="1"/>
        <v>2736.4140755061972</v>
      </c>
      <c r="G19" s="5">
        <f t="shared" si="2"/>
        <v>4160.963426010936</v>
      </c>
    </row>
    <row r="20" spans="1:7" x14ac:dyDescent="0.25">
      <c r="A20">
        <f t="shared" si="3"/>
        <v>2030</v>
      </c>
      <c r="B20">
        <f t="shared" si="6"/>
        <v>10</v>
      </c>
      <c r="C20" s="5">
        <f t="shared" si="4"/>
        <v>5759.7465091299682</v>
      </c>
      <c r="D20" s="5">
        <v>0</v>
      </c>
      <c r="E20" s="5">
        <f t="shared" si="5"/>
        <v>5759.7465091299682</v>
      </c>
      <c r="F20" s="5">
        <f t="shared" si="1"/>
        <v>2557.396332248783</v>
      </c>
      <c r="G20" s="5">
        <f t="shared" si="2"/>
        <v>4039.7703165154726</v>
      </c>
    </row>
    <row r="21" spans="1:7" x14ac:dyDescent="0.25">
      <c r="A21">
        <f t="shared" si="3"/>
        <v>2031</v>
      </c>
      <c r="B21">
        <f t="shared" si="6"/>
        <v>11</v>
      </c>
      <c r="C21" s="5">
        <f t="shared" si="4"/>
        <v>5759.7465091299682</v>
      </c>
      <c r="D21" s="5">
        <v>0</v>
      </c>
      <c r="E21" s="5">
        <f t="shared" si="5"/>
        <v>5759.7465091299682</v>
      </c>
      <c r="F21" s="5">
        <f t="shared" si="1"/>
        <v>2390.0900301390493</v>
      </c>
      <c r="G21" s="5">
        <f t="shared" si="2"/>
        <v>3922.1071034130805</v>
      </c>
    </row>
    <row r="22" spans="1:7" x14ac:dyDescent="0.25">
      <c r="A22">
        <f t="shared" si="3"/>
        <v>2032</v>
      </c>
      <c r="B22">
        <f t="shared" si="6"/>
        <v>12</v>
      </c>
      <c r="C22" s="5">
        <f t="shared" si="4"/>
        <v>5759.7465091299682</v>
      </c>
      <c r="D22" s="5">
        <v>0</v>
      </c>
      <c r="E22" s="5">
        <f t="shared" si="5"/>
        <v>5759.7465091299682</v>
      </c>
      <c r="F22" s="5">
        <f t="shared" si="1"/>
        <v>2233.7290001299525</v>
      </c>
      <c r="G22" s="5">
        <f t="shared" si="2"/>
        <v>3807.8709741874563</v>
      </c>
    </row>
    <row r="23" spans="1:7" x14ac:dyDescent="0.25">
      <c r="A23">
        <f t="shared" si="3"/>
        <v>2033</v>
      </c>
      <c r="B23">
        <f t="shared" si="6"/>
        <v>13</v>
      </c>
      <c r="C23" s="5">
        <f t="shared" si="4"/>
        <v>5759.7465091299682</v>
      </c>
      <c r="D23" s="5">
        <v>0</v>
      </c>
      <c r="E23" s="5">
        <f t="shared" si="5"/>
        <v>5759.7465091299682</v>
      </c>
      <c r="F23" s="5">
        <f t="shared" si="1"/>
        <v>2087.597196383133</v>
      </c>
      <c r="G23" s="5">
        <f t="shared" si="2"/>
        <v>3696.9621108616079</v>
      </c>
    </row>
    <row r="24" spans="1:7" x14ac:dyDescent="0.25">
      <c r="A24">
        <f t="shared" si="3"/>
        <v>2034</v>
      </c>
      <c r="B24">
        <f t="shared" si="6"/>
        <v>14</v>
      </c>
      <c r="C24" s="5">
        <f t="shared" si="4"/>
        <v>5759.7465091299682</v>
      </c>
      <c r="D24" s="5">
        <v>0</v>
      </c>
      <c r="E24" s="5">
        <f t="shared" si="5"/>
        <v>5759.7465091299682</v>
      </c>
      <c r="F24" s="5">
        <f t="shared" si="1"/>
        <v>1951.0254171804984</v>
      </c>
      <c r="G24" s="5">
        <f t="shared" si="2"/>
        <v>3589.283602778261</v>
      </c>
    </row>
    <row r="25" spans="1:7" x14ac:dyDescent="0.25">
      <c r="A25">
        <f t="shared" si="3"/>
        <v>2035</v>
      </c>
      <c r="B25">
        <f t="shared" si="6"/>
        <v>15</v>
      </c>
      <c r="C25" s="5">
        <f t="shared" si="4"/>
        <v>5759.7465091299682</v>
      </c>
      <c r="D25" s="5">
        <v>0</v>
      </c>
      <c r="E25" s="5">
        <f t="shared" si="5"/>
        <v>5759.7465091299682</v>
      </c>
      <c r="F25" s="5">
        <f t="shared" si="1"/>
        <v>1823.3882403556061</v>
      </c>
      <c r="G25" s="5">
        <f t="shared" si="2"/>
        <v>3484.7413619206413</v>
      </c>
    </row>
    <row r="26" spans="1:7" x14ac:dyDescent="0.25">
      <c r="A26">
        <f t="shared" si="3"/>
        <v>2036</v>
      </c>
      <c r="B26">
        <f t="shared" si="6"/>
        <v>16</v>
      </c>
      <c r="C26" s="5">
        <f t="shared" si="4"/>
        <v>5759.7465091299682</v>
      </c>
      <c r="D26" s="5">
        <v>0</v>
      </c>
      <c r="E26" s="5">
        <f t="shared" si="5"/>
        <v>5759.7465091299682</v>
      </c>
      <c r="F26" s="5">
        <f t="shared" si="1"/>
        <v>1704.1011592108466</v>
      </c>
      <c r="G26" s="5">
        <f t="shared" si="2"/>
        <v>3383.244040699652</v>
      </c>
    </row>
    <row r="27" spans="1:7" x14ac:dyDescent="0.25">
      <c r="A27">
        <f t="shared" si="3"/>
        <v>2037</v>
      </c>
      <c r="B27">
        <f t="shared" si="6"/>
        <v>17</v>
      </c>
      <c r="C27" s="5">
        <f t="shared" si="4"/>
        <v>5759.7465091299682</v>
      </c>
      <c r="D27" s="5">
        <v>0</v>
      </c>
      <c r="E27" s="5">
        <f t="shared" si="5"/>
        <v>5759.7465091299682</v>
      </c>
      <c r="F27" s="5">
        <f t="shared" si="1"/>
        <v>1592.6179058045295</v>
      </c>
      <c r="G27" s="5">
        <f t="shared" si="2"/>
        <v>3284.7029521355844</v>
      </c>
    </row>
    <row r="28" spans="1:7" x14ac:dyDescent="0.25">
      <c r="A28">
        <f t="shared" si="3"/>
        <v>2038</v>
      </c>
      <c r="B28">
        <f t="shared" si="6"/>
        <v>18</v>
      </c>
      <c r="C28" s="5">
        <f t="shared" si="4"/>
        <v>5759.7465091299682</v>
      </c>
      <c r="D28" s="5">
        <v>0</v>
      </c>
      <c r="E28" s="5">
        <f t="shared" si="5"/>
        <v>5759.7465091299682</v>
      </c>
      <c r="F28" s="5">
        <f t="shared" si="1"/>
        <v>1488.4279493500276</v>
      </c>
      <c r="G28" s="5">
        <f t="shared" si="2"/>
        <v>3189.0319923646452</v>
      </c>
    </row>
    <row r="29" spans="1:7" x14ac:dyDescent="0.25">
      <c r="A29">
        <f t="shared" si="3"/>
        <v>2039</v>
      </c>
      <c r="B29">
        <f t="shared" si="6"/>
        <v>19</v>
      </c>
      <c r="C29" s="5">
        <f t="shared" si="4"/>
        <v>5759.7465091299682</v>
      </c>
      <c r="D29" s="5">
        <v>0</v>
      </c>
      <c r="E29" s="5">
        <f t="shared" si="5"/>
        <v>5759.7465091299682</v>
      </c>
      <c r="F29" s="5">
        <f t="shared" si="1"/>
        <v>1391.0541582710539</v>
      </c>
      <c r="G29" s="5">
        <f t="shared" si="2"/>
        <v>3096.1475654025685</v>
      </c>
    </row>
    <row r="30" spans="1:7" x14ac:dyDescent="0.25">
      <c r="A30">
        <f t="shared" si="3"/>
        <v>2040</v>
      </c>
      <c r="B30">
        <f t="shared" si="6"/>
        <v>20</v>
      </c>
      <c r="C30" s="5">
        <f t="shared" si="4"/>
        <v>5759.7465091299682</v>
      </c>
      <c r="D30" s="5">
        <v>0</v>
      </c>
      <c r="E30" s="5">
        <f t="shared" si="5"/>
        <v>5759.7465091299682</v>
      </c>
      <c r="F30" s="5">
        <f t="shared" si="1"/>
        <v>1300.0506152065923</v>
      </c>
      <c r="G30" s="5">
        <f t="shared" si="2"/>
        <v>3005.9685100995807</v>
      </c>
    </row>
    <row r="31" spans="1:7" x14ac:dyDescent="0.25">
      <c r="A31">
        <f t="shared" si="3"/>
        <v>2041</v>
      </c>
      <c r="B31">
        <f t="shared" si="6"/>
        <v>21</v>
      </c>
      <c r="C31" s="5">
        <f t="shared" si="4"/>
        <v>5759.7465091299682</v>
      </c>
      <c r="D31" s="5">
        <v>0</v>
      </c>
      <c r="E31" s="5">
        <f t="shared" si="5"/>
        <v>5759.7465091299682</v>
      </c>
      <c r="F31" s="5">
        <f t="shared" si="1"/>
        <v>1215.000574959432</v>
      </c>
      <c r="G31" s="5">
        <f t="shared" si="2"/>
        <v>2918.4160292228939</v>
      </c>
    </row>
    <row r="32" spans="1:7" x14ac:dyDescent="0.25">
      <c r="A32">
        <f t="shared" si="3"/>
        <v>2042</v>
      </c>
      <c r="B32">
        <f t="shared" si="6"/>
        <v>22</v>
      </c>
      <c r="C32" s="5">
        <f t="shared" si="4"/>
        <v>5759.7465091299682</v>
      </c>
      <c r="D32" s="5">
        <v>0</v>
      </c>
      <c r="E32" s="5">
        <f t="shared" si="5"/>
        <v>5759.7465091299682</v>
      </c>
      <c r="F32" s="5">
        <f t="shared" si="1"/>
        <v>1135.5145560368524</v>
      </c>
      <c r="G32" s="5">
        <f t="shared" si="2"/>
        <v>2833.4136206047515</v>
      </c>
    </row>
    <row r="33" spans="1:9" x14ac:dyDescent="0.25">
      <c r="A33">
        <f t="shared" si="3"/>
        <v>2043</v>
      </c>
      <c r="B33">
        <f t="shared" si="6"/>
        <v>23</v>
      </c>
      <c r="C33" s="5">
        <f t="shared" si="4"/>
        <v>5759.7465091299682</v>
      </c>
      <c r="D33" s="5">
        <v>0</v>
      </c>
      <c r="E33" s="5">
        <f t="shared" si="5"/>
        <v>5759.7465091299682</v>
      </c>
      <c r="F33" s="5">
        <f t="shared" si="1"/>
        <v>1061.2285570437873</v>
      </c>
      <c r="G33" s="5">
        <f t="shared" si="2"/>
        <v>2750.8870102958754</v>
      </c>
    </row>
    <row r="34" spans="1:9" x14ac:dyDescent="0.25">
      <c r="A34">
        <f t="shared" si="3"/>
        <v>2044</v>
      </c>
      <c r="B34">
        <f t="shared" si="6"/>
        <v>24</v>
      </c>
      <c r="C34" s="5">
        <f t="shared" si="4"/>
        <v>5759.7465091299682</v>
      </c>
      <c r="D34" s="5">
        <v>0</v>
      </c>
      <c r="E34" s="5">
        <f t="shared" si="5"/>
        <v>5759.7465091299682</v>
      </c>
      <c r="F34" s="5">
        <f t="shared" si="1"/>
        <v>991.80238976054886</v>
      </c>
      <c r="G34" s="5">
        <f t="shared" si="2"/>
        <v>2670.7640876658979</v>
      </c>
    </row>
    <row r="35" spans="1:9" x14ac:dyDescent="0.25">
      <c r="A35">
        <f t="shared" si="3"/>
        <v>2045</v>
      </c>
      <c r="B35">
        <f t="shared" si="6"/>
        <v>25</v>
      </c>
      <c r="C35" s="5">
        <f t="shared" si="4"/>
        <v>5759.7465091299682</v>
      </c>
      <c r="D35" s="5">
        <v>0</v>
      </c>
      <c r="E35" s="5">
        <f t="shared" si="5"/>
        <v>5759.7465091299682</v>
      </c>
      <c r="F35" s="5">
        <f t="shared" si="1"/>
        <v>926.91812127154083</v>
      </c>
      <c r="G35" s="5">
        <f t="shared" si="2"/>
        <v>2592.9748423940764</v>
      </c>
    </row>
    <row r="36" spans="1:9" x14ac:dyDescent="0.25">
      <c r="A36">
        <f t="shared" si="3"/>
        <v>2046</v>
      </c>
      <c r="B36">
        <f t="shared" si="6"/>
        <v>26</v>
      </c>
      <c r="C36" s="5">
        <f t="shared" si="4"/>
        <v>5759.7465091299682</v>
      </c>
      <c r="D36" s="5">
        <v>0</v>
      </c>
      <c r="E36" s="5">
        <f t="shared" si="5"/>
        <v>5759.7465091299682</v>
      </c>
      <c r="F36" s="5">
        <f t="shared" si="1"/>
        <v>866.27861801078598</v>
      </c>
      <c r="G36" s="5">
        <f t="shared" si="2"/>
        <v>2517.4513032952195</v>
      </c>
    </row>
    <row r="37" spans="1:9" x14ac:dyDescent="0.25">
      <c r="A37">
        <f t="shared" si="3"/>
        <v>2047</v>
      </c>
      <c r="B37">
        <f t="shared" si="6"/>
        <v>27</v>
      </c>
      <c r="C37" s="5">
        <f t="shared" si="4"/>
        <v>5759.7465091299682</v>
      </c>
      <c r="D37" s="5">
        <v>0</v>
      </c>
      <c r="E37" s="5">
        <f t="shared" si="5"/>
        <v>5759.7465091299682</v>
      </c>
      <c r="F37" s="5">
        <f t="shared" si="1"/>
        <v>809.6061850568093</v>
      </c>
      <c r="G37" s="5">
        <f t="shared" si="2"/>
        <v>2444.127478927398</v>
      </c>
    </row>
    <row r="38" spans="1:9" x14ac:dyDescent="0.25">
      <c r="A38">
        <f t="shared" si="3"/>
        <v>2048</v>
      </c>
      <c r="B38">
        <f t="shared" si="6"/>
        <v>28</v>
      </c>
      <c r="C38" s="5">
        <f t="shared" si="4"/>
        <v>5759.7465091299682</v>
      </c>
      <c r="D38" s="5">
        <v>0</v>
      </c>
      <c r="E38" s="5">
        <f t="shared" si="5"/>
        <v>5759.7465091299682</v>
      </c>
      <c r="F38" s="5">
        <f t="shared" si="1"/>
        <v>756.64129444561615</v>
      </c>
      <c r="G38" s="5">
        <f t="shared" si="2"/>
        <v>2372.9392999295123</v>
      </c>
    </row>
    <row r="39" spans="1:9" x14ac:dyDescent="0.25">
      <c r="A39">
        <f t="shared" si="3"/>
        <v>2049</v>
      </c>
      <c r="B39">
        <f t="shared" si="6"/>
        <v>29</v>
      </c>
      <c r="C39" s="5">
        <f t="shared" ref="C39:C40" si="7">+C38</f>
        <v>5759.7465091299682</v>
      </c>
      <c r="D39" s="5">
        <v>0</v>
      </c>
      <c r="E39" s="5">
        <f t="shared" ref="E39:E40" si="8">+C39-D39</f>
        <v>5759.7465091299682</v>
      </c>
      <c r="F39" s="5">
        <f t="shared" si="1"/>
        <v>707.14139667814584</v>
      </c>
      <c r="G39" s="5">
        <f t="shared" si="2"/>
        <v>2303.8245630383612</v>
      </c>
    </row>
    <row r="40" spans="1:9" x14ac:dyDescent="0.25">
      <c r="A40" s="8">
        <f t="shared" si="3"/>
        <v>2050</v>
      </c>
      <c r="B40" s="8">
        <f t="shared" si="6"/>
        <v>30</v>
      </c>
      <c r="C40" s="9">
        <f t="shared" si="7"/>
        <v>5759.7465091299682</v>
      </c>
      <c r="D40" s="9">
        <v>0</v>
      </c>
      <c r="E40" s="9">
        <f t="shared" si="8"/>
        <v>5759.7465091299682</v>
      </c>
      <c r="F40" s="9">
        <f t="shared" si="1"/>
        <v>660.87980997957561</v>
      </c>
      <c r="G40" s="9">
        <f t="shared" si="2"/>
        <v>2236.7228767362735</v>
      </c>
    </row>
    <row r="41" spans="1:9" x14ac:dyDescent="0.25">
      <c r="A41" t="s">
        <v>23</v>
      </c>
      <c r="E41" s="11">
        <f>SUM(E8:E40)</f>
        <v>178552.14178302902</v>
      </c>
      <c r="F41" s="11">
        <f>SUM(F8:F40)</f>
        <v>67458.012182267325</v>
      </c>
      <c r="G41" s="11">
        <f>SUM(G8:G40)</f>
        <v>111842.13417772195</v>
      </c>
    </row>
    <row r="45" spans="1:9" x14ac:dyDescent="0.25">
      <c r="A45" t="s">
        <v>336</v>
      </c>
    </row>
    <row r="46" spans="1:9" x14ac:dyDescent="0.25">
      <c r="A46" t="s">
        <v>255</v>
      </c>
      <c r="D46" s="136">
        <v>114092</v>
      </c>
      <c r="E46" t="s">
        <v>256</v>
      </c>
      <c r="F46">
        <f>13.92+4.7</f>
        <v>18.62</v>
      </c>
      <c r="G46" t="s">
        <v>257</v>
      </c>
      <c r="H46" s="57">
        <f>+D46/F46</f>
        <v>6127.389903329753</v>
      </c>
      <c r="I46" t="s">
        <v>258</v>
      </c>
    </row>
    <row r="47" spans="1:9" x14ac:dyDescent="0.25">
      <c r="A47" t="s">
        <v>259</v>
      </c>
      <c r="F47" s="136">
        <f>+H46*4.7</f>
        <v>28798.73254564984</v>
      </c>
    </row>
    <row r="48" spans="1:9" x14ac:dyDescent="0.25">
      <c r="A48" t="s">
        <v>260</v>
      </c>
      <c r="E48" s="136">
        <f>+F47/5</f>
        <v>5759.7465091299682</v>
      </c>
      <c r="F48" t="s">
        <v>261</v>
      </c>
    </row>
    <row r="50" spans="1:1" x14ac:dyDescent="0.25">
      <c r="A50" t="s">
        <v>263</v>
      </c>
    </row>
  </sheetData>
  <mergeCells count="1">
    <mergeCell ref="E6:G6"/>
  </mergeCells>
  <pageMargins left="0.7" right="0.7" top="0.75" bottom="0.75" header="0.3" footer="0.3"/>
  <pageSetup scale="97" orientation="portrait" horizontalDpi="300" verticalDpi="0" r:id="rId1"/>
  <headerFooter>
    <oddFooter>&amp;R&amp;F -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97"/>
  <sheetViews>
    <sheetView zoomScale="80" zoomScaleNormal="80" workbookViewId="0">
      <selection activeCell="C4" sqref="C4"/>
    </sheetView>
  </sheetViews>
  <sheetFormatPr defaultRowHeight="15" x14ac:dyDescent="0.25"/>
  <cols>
    <col min="1" max="1" width="3.85546875" customWidth="1"/>
    <col min="2" max="2" width="25" customWidth="1"/>
    <col min="3" max="3" width="16.28515625" customWidth="1"/>
    <col min="4" max="4" width="23.140625" customWidth="1"/>
    <col min="5" max="5" width="20.140625" customWidth="1"/>
    <col min="6" max="6" width="20.5703125" customWidth="1"/>
    <col min="7" max="7" width="19.140625" customWidth="1"/>
    <col min="8" max="8" width="18.85546875" customWidth="1"/>
    <col min="9" max="9" width="16.140625" customWidth="1"/>
    <col min="10" max="10" width="24.28515625" customWidth="1"/>
    <col min="11" max="11" width="17.85546875" customWidth="1"/>
    <col min="12" max="12" width="15.28515625" customWidth="1"/>
    <col min="13" max="13" width="15.7109375" customWidth="1"/>
    <col min="14" max="14" width="18.140625" customWidth="1"/>
    <col min="15" max="15" width="14.5703125" customWidth="1"/>
    <col min="16" max="16" width="12.5703125" customWidth="1"/>
    <col min="17" max="17" width="11.7109375" customWidth="1"/>
    <col min="18" max="18" width="11.28515625" customWidth="1"/>
    <col min="19" max="19" width="13.42578125" customWidth="1"/>
    <col min="21" max="21" width="13.28515625" customWidth="1"/>
    <col min="22" max="22" width="13.140625" customWidth="1"/>
  </cols>
  <sheetData>
    <row r="1" spans="2:10" ht="18.75" x14ac:dyDescent="0.3">
      <c r="B1" s="2" t="s">
        <v>14</v>
      </c>
      <c r="C1" s="2"/>
      <c r="D1" s="2"/>
      <c r="F1" s="125"/>
      <c r="G1" s="125"/>
      <c r="H1" s="125"/>
      <c r="I1" s="125"/>
      <c r="J1" s="125"/>
    </row>
    <row r="2" spans="2:10" ht="18.75" x14ac:dyDescent="0.3">
      <c r="B2" s="2"/>
      <c r="C2" s="2"/>
      <c r="D2" s="2"/>
      <c r="E2" s="2"/>
      <c r="G2" s="125"/>
      <c r="H2" s="125"/>
      <c r="I2" s="125"/>
      <c r="J2" s="125"/>
    </row>
    <row r="3" spans="2:10" ht="18.75" x14ac:dyDescent="0.3">
      <c r="C3" s="168" t="s">
        <v>341</v>
      </c>
      <c r="D3" s="2"/>
      <c r="E3" s="2"/>
      <c r="F3" s="2"/>
    </row>
    <row r="4" spans="2:10" ht="18.75" x14ac:dyDescent="0.3">
      <c r="C4" s="168" t="s">
        <v>340</v>
      </c>
      <c r="D4" s="2"/>
      <c r="E4" s="2"/>
    </row>
    <row r="6" spans="2:10" ht="15.75" x14ac:dyDescent="0.25">
      <c r="C6" s="218" t="s">
        <v>339</v>
      </c>
      <c r="D6" s="218"/>
      <c r="E6" s="218"/>
      <c r="F6" s="218"/>
      <c r="G6" s="218"/>
      <c r="H6" s="213" t="s">
        <v>127</v>
      </c>
      <c r="I6" s="213"/>
      <c r="J6" s="213"/>
    </row>
    <row r="7" spans="2:10" ht="75" x14ac:dyDescent="0.25">
      <c r="B7" s="59" t="s">
        <v>13</v>
      </c>
      <c r="C7" s="230" t="s">
        <v>113</v>
      </c>
      <c r="D7" s="226" t="s">
        <v>319</v>
      </c>
      <c r="E7" s="227" t="s">
        <v>304</v>
      </c>
      <c r="F7" s="228" t="s">
        <v>337</v>
      </c>
      <c r="G7" s="229" t="s">
        <v>338</v>
      </c>
      <c r="H7" s="7" t="s">
        <v>114</v>
      </c>
      <c r="I7" s="7" t="s">
        <v>21</v>
      </c>
      <c r="J7" s="7" t="s">
        <v>20</v>
      </c>
    </row>
    <row r="8" spans="2:10" x14ac:dyDescent="0.25">
      <c r="B8">
        <v>2018</v>
      </c>
      <c r="C8" s="98"/>
      <c r="D8" s="99"/>
      <c r="E8" s="94"/>
      <c r="F8" s="95"/>
      <c r="G8" s="97"/>
      <c r="H8" s="50">
        <f t="shared" ref="H8:H39" si="0">SUM(C8:G8)</f>
        <v>0</v>
      </c>
      <c r="I8" s="5">
        <f t="shared" ref="I8:I39" si="1">H8/(1.07^($B8-2018))</f>
        <v>0</v>
      </c>
      <c r="J8" s="5">
        <f t="shared" ref="J8:J39" si="2">H8/(1.03^($B8-2018))</f>
        <v>0</v>
      </c>
    </row>
    <row r="9" spans="2:10" x14ac:dyDescent="0.25">
      <c r="B9">
        <f>+B8+1</f>
        <v>2019</v>
      </c>
      <c r="C9" s="98"/>
      <c r="D9" s="99"/>
      <c r="E9" s="94"/>
      <c r="F9" s="95"/>
      <c r="G9" s="97"/>
      <c r="H9" s="50">
        <f t="shared" si="0"/>
        <v>0</v>
      </c>
      <c r="I9" s="5">
        <f t="shared" si="1"/>
        <v>0</v>
      </c>
      <c r="J9" s="5">
        <f t="shared" si="2"/>
        <v>0</v>
      </c>
    </row>
    <row r="10" spans="2:10" x14ac:dyDescent="0.25">
      <c r="B10">
        <f t="shared" ref="B10:B39" si="3">+B9+1</f>
        <v>2020</v>
      </c>
      <c r="C10" s="98"/>
      <c r="D10" s="99"/>
      <c r="E10" s="94"/>
      <c r="F10" s="64"/>
      <c r="G10" s="97"/>
      <c r="H10" s="50">
        <f t="shared" si="0"/>
        <v>0</v>
      </c>
      <c r="I10" s="5">
        <f t="shared" si="1"/>
        <v>0</v>
      </c>
      <c r="J10" s="5">
        <f t="shared" si="2"/>
        <v>0</v>
      </c>
    </row>
    <row r="11" spans="2:10" x14ac:dyDescent="0.25">
      <c r="B11">
        <f t="shared" si="3"/>
        <v>2021</v>
      </c>
      <c r="C11" s="98">
        <f>+$K$74/3</f>
        <v>3922028.7892807722</v>
      </c>
      <c r="D11" s="99">
        <f>+G103/3</f>
        <v>26049900</v>
      </c>
      <c r="E11" s="94">
        <f>+E136/3</f>
        <v>3300000</v>
      </c>
      <c r="F11" s="95">
        <f>+E165/3</f>
        <v>1400000</v>
      </c>
      <c r="G11" s="97">
        <f>+$H$185/3</f>
        <v>6933333.333333333</v>
      </c>
      <c r="H11" s="50">
        <f t="shared" si="0"/>
        <v>41605262.122614108</v>
      </c>
      <c r="I11" s="5">
        <f t="shared" si="1"/>
        <v>33962287.138177276</v>
      </c>
      <c r="J11" s="5">
        <f t="shared" si="2"/>
        <v>38074708.616712235</v>
      </c>
    </row>
    <row r="12" spans="2:10" x14ac:dyDescent="0.25">
      <c r="B12">
        <f t="shared" si="3"/>
        <v>2022</v>
      </c>
      <c r="C12" s="98">
        <f>+C11</f>
        <v>3922028.7892807722</v>
      </c>
      <c r="D12" s="99">
        <f t="shared" ref="D12:F13" si="4">+D11</f>
        <v>26049900</v>
      </c>
      <c r="E12" s="94">
        <f t="shared" si="4"/>
        <v>3300000</v>
      </c>
      <c r="F12" s="95">
        <f t="shared" si="4"/>
        <v>1400000</v>
      </c>
      <c r="G12" s="97">
        <f>+$H$185/3</f>
        <v>6933333.333333333</v>
      </c>
      <c r="H12" s="50">
        <f t="shared" si="0"/>
        <v>41605262.122614108</v>
      </c>
      <c r="I12" s="5">
        <f t="shared" si="1"/>
        <v>31740455.26932456</v>
      </c>
      <c r="J12" s="5">
        <f t="shared" si="2"/>
        <v>36965736.521079838</v>
      </c>
    </row>
    <row r="13" spans="2:10" x14ac:dyDescent="0.25">
      <c r="B13">
        <f t="shared" si="3"/>
        <v>2023</v>
      </c>
      <c r="C13" s="98">
        <f>+C12</f>
        <v>3922028.7892807722</v>
      </c>
      <c r="D13" s="99">
        <f t="shared" si="4"/>
        <v>26049900</v>
      </c>
      <c r="E13" s="94">
        <f t="shared" si="4"/>
        <v>3300000</v>
      </c>
      <c r="F13" s="95">
        <f t="shared" si="4"/>
        <v>1400000</v>
      </c>
      <c r="G13" s="97">
        <f>+$H$185/3</f>
        <v>6933333.333333333</v>
      </c>
      <c r="H13" s="50">
        <f t="shared" si="0"/>
        <v>41605262.122614108</v>
      </c>
      <c r="I13" s="5">
        <f t="shared" si="1"/>
        <v>29663976.887219209</v>
      </c>
      <c r="J13" s="5">
        <f t="shared" si="2"/>
        <v>35889064.583572663</v>
      </c>
    </row>
    <row r="14" spans="2:10" x14ac:dyDescent="0.25">
      <c r="B14">
        <f t="shared" si="3"/>
        <v>2024</v>
      </c>
      <c r="C14" s="71"/>
      <c r="D14" s="71"/>
      <c r="E14" s="71"/>
      <c r="F14" s="71"/>
      <c r="G14" s="71"/>
      <c r="H14" s="50">
        <f t="shared" si="0"/>
        <v>0</v>
      </c>
      <c r="I14" s="5">
        <f t="shared" si="1"/>
        <v>0</v>
      </c>
      <c r="J14" s="5">
        <f t="shared" si="2"/>
        <v>0</v>
      </c>
    </row>
    <row r="15" spans="2:10" x14ac:dyDescent="0.25">
      <c r="B15">
        <f t="shared" si="3"/>
        <v>2025</v>
      </c>
      <c r="C15" s="71"/>
      <c r="D15" s="71"/>
      <c r="E15" s="71"/>
      <c r="F15" s="71"/>
      <c r="G15" s="71"/>
      <c r="H15" s="50">
        <f t="shared" si="0"/>
        <v>0</v>
      </c>
      <c r="I15" s="5">
        <f t="shared" si="1"/>
        <v>0</v>
      </c>
      <c r="J15" s="5">
        <f t="shared" si="2"/>
        <v>0</v>
      </c>
    </row>
    <row r="16" spans="2:10" x14ac:dyDescent="0.25">
      <c r="B16">
        <f t="shared" si="3"/>
        <v>2026</v>
      </c>
      <c r="C16" s="71"/>
      <c r="D16" s="71"/>
      <c r="E16" s="71"/>
      <c r="F16" s="71"/>
      <c r="G16" s="71"/>
      <c r="H16" s="50">
        <f t="shared" si="0"/>
        <v>0</v>
      </c>
      <c r="I16" s="5">
        <f t="shared" si="1"/>
        <v>0</v>
      </c>
      <c r="J16" s="5">
        <f t="shared" si="2"/>
        <v>0</v>
      </c>
    </row>
    <row r="17" spans="2:10" x14ac:dyDescent="0.25">
      <c r="B17">
        <f t="shared" si="3"/>
        <v>2027</v>
      </c>
      <c r="C17" s="71"/>
      <c r="D17" s="71"/>
      <c r="E17" s="71"/>
      <c r="F17" s="71"/>
      <c r="G17" s="71"/>
      <c r="H17" s="50">
        <f t="shared" si="0"/>
        <v>0</v>
      </c>
      <c r="I17" s="5">
        <f t="shared" si="1"/>
        <v>0</v>
      </c>
      <c r="J17" s="5">
        <f t="shared" si="2"/>
        <v>0</v>
      </c>
    </row>
    <row r="18" spans="2:10" x14ac:dyDescent="0.25">
      <c r="B18">
        <f t="shared" si="3"/>
        <v>2028</v>
      </c>
      <c r="C18" s="71"/>
      <c r="D18" s="71"/>
      <c r="E18" s="71"/>
      <c r="F18" s="71"/>
      <c r="G18" s="71"/>
      <c r="H18" s="50">
        <f t="shared" si="0"/>
        <v>0</v>
      </c>
      <c r="I18" s="5">
        <f t="shared" si="1"/>
        <v>0</v>
      </c>
      <c r="J18" s="5">
        <f t="shared" si="2"/>
        <v>0</v>
      </c>
    </row>
    <row r="19" spans="2:10" x14ac:dyDescent="0.25">
      <c r="B19">
        <f t="shared" si="3"/>
        <v>2029</v>
      </c>
      <c r="C19" s="71"/>
      <c r="D19" s="71"/>
      <c r="E19" s="71"/>
      <c r="F19" s="71"/>
      <c r="G19" s="71"/>
      <c r="H19" s="50">
        <f t="shared" si="0"/>
        <v>0</v>
      </c>
      <c r="I19" s="5">
        <f t="shared" si="1"/>
        <v>0</v>
      </c>
      <c r="J19" s="5">
        <f t="shared" si="2"/>
        <v>0</v>
      </c>
    </row>
    <row r="20" spans="2:10" x14ac:dyDescent="0.25">
      <c r="B20">
        <f t="shared" si="3"/>
        <v>2030</v>
      </c>
      <c r="C20" s="71"/>
      <c r="D20" s="71"/>
      <c r="E20" s="71"/>
      <c r="F20" s="71"/>
      <c r="G20" s="71"/>
      <c r="H20" s="50">
        <f t="shared" si="0"/>
        <v>0</v>
      </c>
      <c r="I20" s="5">
        <f t="shared" si="1"/>
        <v>0</v>
      </c>
      <c r="J20" s="5">
        <f t="shared" si="2"/>
        <v>0</v>
      </c>
    </row>
    <row r="21" spans="2:10" x14ac:dyDescent="0.25">
      <c r="B21">
        <f t="shared" si="3"/>
        <v>2031</v>
      </c>
      <c r="C21" s="71"/>
      <c r="D21" s="71"/>
      <c r="E21" s="71"/>
      <c r="F21" s="71"/>
      <c r="G21" s="71"/>
      <c r="H21" s="50">
        <f t="shared" si="0"/>
        <v>0</v>
      </c>
      <c r="I21" s="5">
        <f t="shared" si="1"/>
        <v>0</v>
      </c>
      <c r="J21" s="5">
        <f t="shared" si="2"/>
        <v>0</v>
      </c>
    </row>
    <row r="22" spans="2:10" x14ac:dyDescent="0.25">
      <c r="B22">
        <f t="shared" si="3"/>
        <v>2032</v>
      </c>
      <c r="C22" s="71"/>
      <c r="D22" s="71"/>
      <c r="E22" s="71"/>
      <c r="F22" s="71"/>
      <c r="G22" s="71"/>
      <c r="H22" s="50">
        <f t="shared" si="0"/>
        <v>0</v>
      </c>
      <c r="I22" s="5">
        <f t="shared" si="1"/>
        <v>0</v>
      </c>
      <c r="J22" s="5">
        <f t="shared" si="2"/>
        <v>0</v>
      </c>
    </row>
    <row r="23" spans="2:10" x14ac:dyDescent="0.25">
      <c r="B23">
        <f t="shared" si="3"/>
        <v>2033</v>
      </c>
      <c r="C23" s="71"/>
      <c r="D23" s="71"/>
      <c r="E23" s="71"/>
      <c r="F23" s="71"/>
      <c r="G23" s="71"/>
      <c r="H23" s="50">
        <f t="shared" si="0"/>
        <v>0</v>
      </c>
      <c r="I23" s="5">
        <f t="shared" si="1"/>
        <v>0</v>
      </c>
      <c r="J23" s="5">
        <f t="shared" si="2"/>
        <v>0</v>
      </c>
    </row>
    <row r="24" spans="2:10" x14ac:dyDescent="0.25">
      <c r="B24">
        <f t="shared" si="3"/>
        <v>2034</v>
      </c>
      <c r="C24" s="71"/>
      <c r="D24" s="71"/>
      <c r="E24" s="71"/>
      <c r="F24" s="71"/>
      <c r="G24" s="71"/>
      <c r="H24" s="50">
        <f t="shared" si="0"/>
        <v>0</v>
      </c>
      <c r="I24" s="5">
        <f t="shared" si="1"/>
        <v>0</v>
      </c>
      <c r="J24" s="5">
        <f t="shared" si="2"/>
        <v>0</v>
      </c>
    </row>
    <row r="25" spans="2:10" x14ac:dyDescent="0.25">
      <c r="B25">
        <f t="shared" si="3"/>
        <v>2035</v>
      </c>
      <c r="C25" s="71"/>
      <c r="D25" s="71"/>
      <c r="E25" s="71"/>
      <c r="F25" s="71"/>
      <c r="G25" s="71"/>
      <c r="H25" s="50">
        <f t="shared" si="0"/>
        <v>0</v>
      </c>
      <c r="I25" s="5">
        <f t="shared" si="1"/>
        <v>0</v>
      </c>
      <c r="J25" s="5">
        <f t="shared" si="2"/>
        <v>0</v>
      </c>
    </row>
    <row r="26" spans="2:10" x14ac:dyDescent="0.25">
      <c r="B26">
        <f t="shared" si="3"/>
        <v>2036</v>
      </c>
      <c r="C26" s="71"/>
      <c r="D26" s="71"/>
      <c r="E26" s="71"/>
      <c r="F26" s="71"/>
      <c r="G26" s="71"/>
      <c r="H26" s="50">
        <f t="shared" si="0"/>
        <v>0</v>
      </c>
      <c r="I26" s="5">
        <f t="shared" si="1"/>
        <v>0</v>
      </c>
      <c r="J26" s="5">
        <f t="shared" si="2"/>
        <v>0</v>
      </c>
    </row>
    <row r="27" spans="2:10" x14ac:dyDescent="0.25">
      <c r="B27">
        <f t="shared" si="3"/>
        <v>2037</v>
      </c>
      <c r="C27" s="71"/>
      <c r="D27" s="71"/>
      <c r="E27" s="71"/>
      <c r="F27" s="71"/>
      <c r="G27" s="71"/>
      <c r="H27" s="50">
        <f t="shared" si="0"/>
        <v>0</v>
      </c>
      <c r="I27" s="5">
        <f t="shared" si="1"/>
        <v>0</v>
      </c>
      <c r="J27" s="5">
        <f t="shared" si="2"/>
        <v>0</v>
      </c>
    </row>
    <row r="28" spans="2:10" x14ac:dyDescent="0.25">
      <c r="B28">
        <f t="shared" si="3"/>
        <v>2038</v>
      </c>
      <c r="C28" s="71"/>
      <c r="D28" s="71"/>
      <c r="E28" s="71"/>
      <c r="F28" s="71"/>
      <c r="G28" s="71"/>
      <c r="H28" s="50">
        <f t="shared" si="0"/>
        <v>0</v>
      </c>
      <c r="I28" s="5">
        <f t="shared" si="1"/>
        <v>0</v>
      </c>
      <c r="J28" s="5">
        <f t="shared" si="2"/>
        <v>0</v>
      </c>
    </row>
    <row r="29" spans="2:10" x14ac:dyDescent="0.25">
      <c r="B29">
        <f t="shared" si="3"/>
        <v>2039</v>
      </c>
      <c r="C29" s="71"/>
      <c r="D29" s="71"/>
      <c r="E29" s="71"/>
      <c r="F29" s="71"/>
      <c r="G29" s="71"/>
      <c r="H29" s="50">
        <f t="shared" si="0"/>
        <v>0</v>
      </c>
      <c r="I29" s="5">
        <f t="shared" si="1"/>
        <v>0</v>
      </c>
      <c r="J29" s="5">
        <f t="shared" si="2"/>
        <v>0</v>
      </c>
    </row>
    <row r="30" spans="2:10" x14ac:dyDescent="0.25">
      <c r="B30">
        <f t="shared" si="3"/>
        <v>2040</v>
      </c>
      <c r="C30" s="71"/>
      <c r="D30" s="71"/>
      <c r="E30" s="71"/>
      <c r="F30" s="71"/>
      <c r="G30" s="71"/>
      <c r="H30" s="50">
        <f t="shared" si="0"/>
        <v>0</v>
      </c>
      <c r="I30" s="5">
        <f t="shared" si="1"/>
        <v>0</v>
      </c>
      <c r="J30" s="5">
        <f t="shared" si="2"/>
        <v>0</v>
      </c>
    </row>
    <row r="31" spans="2:10" x14ac:dyDescent="0.25">
      <c r="B31">
        <f t="shared" si="3"/>
        <v>2041</v>
      </c>
      <c r="C31" s="71"/>
      <c r="D31" s="71"/>
      <c r="E31" s="71"/>
      <c r="F31" s="71"/>
      <c r="G31" s="71"/>
      <c r="H31" s="50">
        <f t="shared" si="0"/>
        <v>0</v>
      </c>
      <c r="I31" s="5">
        <f t="shared" si="1"/>
        <v>0</v>
      </c>
      <c r="J31" s="5">
        <f t="shared" si="2"/>
        <v>0</v>
      </c>
    </row>
    <row r="32" spans="2:10" x14ac:dyDescent="0.25">
      <c r="B32">
        <f t="shared" si="3"/>
        <v>2042</v>
      </c>
      <c r="C32" s="71"/>
      <c r="D32" s="71"/>
      <c r="E32" s="71"/>
      <c r="F32" s="71"/>
      <c r="G32" s="71"/>
      <c r="H32" s="50">
        <f t="shared" si="0"/>
        <v>0</v>
      </c>
      <c r="I32" s="5">
        <f t="shared" si="1"/>
        <v>0</v>
      </c>
      <c r="J32" s="5">
        <f t="shared" si="2"/>
        <v>0</v>
      </c>
    </row>
    <row r="33" spans="1:13" x14ac:dyDescent="0.25">
      <c r="B33">
        <f t="shared" si="3"/>
        <v>2043</v>
      </c>
      <c r="C33" s="71"/>
      <c r="D33" s="71"/>
      <c r="E33" s="71"/>
      <c r="F33" s="71"/>
      <c r="G33" s="71"/>
      <c r="H33" s="50">
        <f t="shared" si="0"/>
        <v>0</v>
      </c>
      <c r="I33" s="5">
        <f t="shared" si="1"/>
        <v>0</v>
      </c>
      <c r="J33" s="5">
        <f t="shared" si="2"/>
        <v>0</v>
      </c>
    </row>
    <row r="34" spans="1:13" x14ac:dyDescent="0.25">
      <c r="B34">
        <f t="shared" si="3"/>
        <v>2044</v>
      </c>
      <c r="C34" s="71"/>
      <c r="D34" s="71"/>
      <c r="E34" s="71"/>
      <c r="F34" s="71"/>
      <c r="G34" s="71"/>
      <c r="H34" s="50">
        <f t="shared" si="0"/>
        <v>0</v>
      </c>
      <c r="I34" s="5">
        <f t="shared" si="1"/>
        <v>0</v>
      </c>
      <c r="J34" s="5">
        <f t="shared" si="2"/>
        <v>0</v>
      </c>
    </row>
    <row r="35" spans="1:13" x14ac:dyDescent="0.25">
      <c r="B35">
        <f t="shared" si="3"/>
        <v>2045</v>
      </c>
      <c r="C35" s="71"/>
      <c r="D35" s="71"/>
      <c r="E35" s="71"/>
      <c r="F35" s="71"/>
      <c r="G35" s="71"/>
      <c r="H35" s="50">
        <f t="shared" si="0"/>
        <v>0</v>
      </c>
      <c r="I35" s="5">
        <f t="shared" si="1"/>
        <v>0</v>
      </c>
      <c r="J35" s="5">
        <f t="shared" si="2"/>
        <v>0</v>
      </c>
    </row>
    <row r="36" spans="1:13" x14ac:dyDescent="0.25">
      <c r="B36">
        <f t="shared" si="3"/>
        <v>2046</v>
      </c>
      <c r="C36" s="71"/>
      <c r="D36" s="71"/>
      <c r="E36" s="71"/>
      <c r="F36" s="71"/>
      <c r="G36" s="71"/>
      <c r="H36" s="50">
        <f t="shared" si="0"/>
        <v>0</v>
      </c>
      <c r="I36" s="5">
        <f t="shared" si="1"/>
        <v>0</v>
      </c>
      <c r="J36" s="5">
        <f t="shared" si="2"/>
        <v>0</v>
      </c>
    </row>
    <row r="37" spans="1:13" x14ac:dyDescent="0.25">
      <c r="B37">
        <f t="shared" si="3"/>
        <v>2047</v>
      </c>
      <c r="C37" s="71"/>
      <c r="D37" s="71"/>
      <c r="E37" s="71"/>
      <c r="F37" s="71"/>
      <c r="G37" s="71"/>
      <c r="H37" s="50">
        <f t="shared" si="0"/>
        <v>0</v>
      </c>
      <c r="I37" s="5">
        <f t="shared" si="1"/>
        <v>0</v>
      </c>
      <c r="J37" s="5">
        <f t="shared" si="2"/>
        <v>0</v>
      </c>
    </row>
    <row r="38" spans="1:13" x14ac:dyDescent="0.25">
      <c r="B38">
        <f t="shared" si="3"/>
        <v>2048</v>
      </c>
      <c r="C38" s="71"/>
      <c r="D38" s="71"/>
      <c r="E38" s="71"/>
      <c r="F38" s="71"/>
      <c r="G38" s="71"/>
      <c r="H38" s="50">
        <f t="shared" si="0"/>
        <v>0</v>
      </c>
      <c r="I38" s="5">
        <f t="shared" si="1"/>
        <v>0</v>
      </c>
      <c r="J38" s="5">
        <f t="shared" si="2"/>
        <v>0</v>
      </c>
    </row>
    <row r="39" spans="1:13" x14ac:dyDescent="0.25">
      <c r="B39">
        <f t="shared" si="3"/>
        <v>2049</v>
      </c>
      <c r="C39" s="71"/>
      <c r="D39" s="71"/>
      <c r="E39" s="71"/>
      <c r="F39" s="71"/>
      <c r="G39" s="71"/>
      <c r="H39" s="50">
        <f t="shared" si="0"/>
        <v>0</v>
      </c>
      <c r="I39" s="5">
        <f t="shared" si="1"/>
        <v>0</v>
      </c>
      <c r="J39" s="5">
        <f t="shared" si="2"/>
        <v>0</v>
      </c>
    </row>
    <row r="40" spans="1:13" x14ac:dyDescent="0.25">
      <c r="C40" s="11">
        <f>SUM(C8:C39)</f>
        <v>11766086.367842317</v>
      </c>
      <c r="D40" s="11">
        <f t="shared" ref="D40:G40" si="5">SUM(D8:D39)</f>
        <v>78149700</v>
      </c>
      <c r="E40" s="11">
        <f t="shared" si="5"/>
        <v>9900000</v>
      </c>
      <c r="F40" s="11">
        <f t="shared" si="5"/>
        <v>4200000</v>
      </c>
      <c r="G40" s="11">
        <f t="shared" si="5"/>
        <v>20800000</v>
      </c>
      <c r="H40" s="11">
        <f t="shared" ref="H40:J40" si="6">SUM(H8:H39)</f>
        <v>124815786.36784232</v>
      </c>
      <c r="I40" s="11">
        <f t="shared" si="6"/>
        <v>95366719.294721037</v>
      </c>
      <c r="J40" s="11">
        <f t="shared" si="6"/>
        <v>110929509.72136474</v>
      </c>
    </row>
    <row r="41" spans="1:13" x14ac:dyDescent="0.25">
      <c r="G41" s="193"/>
      <c r="K41" s="11"/>
      <c r="L41" s="11"/>
      <c r="M41" s="11"/>
    </row>
    <row r="42" spans="1:13" x14ac:dyDescent="0.25">
      <c r="C42" s="193"/>
      <c r="D42" s="193"/>
      <c r="E42" s="193"/>
      <c r="F42" s="193"/>
      <c r="K42" s="11"/>
      <c r="L42" s="11"/>
      <c r="M42" s="11"/>
    </row>
    <row r="48" spans="1:13" ht="18.75" x14ac:dyDescent="0.3">
      <c r="A48" s="61"/>
      <c r="B48" s="114" t="s">
        <v>25</v>
      </c>
      <c r="C48" s="61"/>
      <c r="D48" s="61"/>
      <c r="G48" s="170">
        <f>49/46.4</f>
        <v>1.0560344827586208</v>
      </c>
      <c r="H48" s="170" t="s">
        <v>264</v>
      </c>
    </row>
    <row r="49" spans="1:13" ht="15.75" thickBot="1" x14ac:dyDescent="0.3">
      <c r="A49" s="61"/>
    </row>
    <row r="50" spans="1:13" x14ac:dyDescent="0.25">
      <c r="A50" s="61"/>
      <c r="C50" s="12" t="s">
        <v>26</v>
      </c>
      <c r="D50" s="13"/>
      <c r="E50" s="13"/>
      <c r="F50" s="14"/>
      <c r="H50" s="174" t="s">
        <v>108</v>
      </c>
      <c r="I50" s="174"/>
    </row>
    <row r="51" spans="1:13" x14ac:dyDescent="0.25">
      <c r="A51" s="61"/>
      <c r="C51" s="15" t="s">
        <v>27</v>
      </c>
      <c r="D51" s="16"/>
      <c r="E51" s="17"/>
      <c r="F51" s="18"/>
      <c r="G51" s="1" t="s">
        <v>60</v>
      </c>
      <c r="H51" s="171" t="s">
        <v>60</v>
      </c>
      <c r="I51" s="171" t="s">
        <v>60</v>
      </c>
      <c r="J51" t="s">
        <v>198</v>
      </c>
    </row>
    <row r="52" spans="1:13" ht="15.75" thickBot="1" x14ac:dyDescent="0.3">
      <c r="A52" s="61"/>
      <c r="C52" s="19"/>
      <c r="D52" s="20"/>
      <c r="E52" s="21"/>
      <c r="F52" s="22"/>
      <c r="G52" s="1" t="s">
        <v>61</v>
      </c>
      <c r="H52" s="172" t="s">
        <v>109</v>
      </c>
      <c r="I52" s="172" t="s">
        <v>109</v>
      </c>
      <c r="J52" t="s">
        <v>64</v>
      </c>
      <c r="K52" t="s">
        <v>62</v>
      </c>
      <c r="L52" s="1" t="s">
        <v>115</v>
      </c>
    </row>
    <row r="53" spans="1:13" ht="15.75" thickBot="1" x14ac:dyDescent="0.3">
      <c r="A53" s="61"/>
      <c r="B53" s="23" t="s">
        <v>48</v>
      </c>
      <c r="C53" s="23" t="s">
        <v>28</v>
      </c>
      <c r="D53" s="24" t="s">
        <v>29</v>
      </c>
      <c r="E53" s="24" t="s">
        <v>30</v>
      </c>
      <c r="F53" s="25" t="s">
        <v>31</v>
      </c>
      <c r="G53" s="38" t="s">
        <v>59</v>
      </c>
      <c r="H53" s="172" t="s">
        <v>70</v>
      </c>
      <c r="I53" s="172" t="s">
        <v>110</v>
      </c>
      <c r="J53" t="s">
        <v>63</v>
      </c>
      <c r="K53" t="s">
        <v>63</v>
      </c>
    </row>
    <row r="54" spans="1:13" x14ac:dyDescent="0.25">
      <c r="A54" s="61"/>
      <c r="B54" s="26" t="s">
        <v>49</v>
      </c>
      <c r="C54" s="26" t="s">
        <v>32</v>
      </c>
      <c r="D54" s="27">
        <v>0.45400000000000001</v>
      </c>
      <c r="E54" s="28">
        <v>2200000</v>
      </c>
      <c r="F54" s="29">
        <v>45399140</v>
      </c>
      <c r="G54" s="10">
        <f>(E54+F54)*1.056</f>
        <v>50264691.840000004</v>
      </c>
      <c r="H54" s="173">
        <f>+F54/D54</f>
        <v>99998105.72687225</v>
      </c>
      <c r="I54" s="174"/>
      <c r="J54" s="39">
        <v>0.06</v>
      </c>
      <c r="K54" s="103">
        <f>+G54*(1+J54)</f>
        <v>53280573.350400008</v>
      </c>
      <c r="L54" s="10"/>
    </row>
    <row r="55" spans="1:13" ht="15" customHeight="1" x14ac:dyDescent="0.25">
      <c r="A55" s="61"/>
      <c r="B55" s="40" t="s">
        <v>65</v>
      </c>
      <c r="C55" s="40"/>
      <c r="D55" s="41">
        <v>0.20699999999999999</v>
      </c>
      <c r="E55" s="42">
        <v>1012000</v>
      </c>
      <c r="F55" s="43"/>
      <c r="G55" s="137">
        <f t="shared" ref="G55:G72" si="7">(E55+F55)*1.056</f>
        <v>1068672</v>
      </c>
      <c r="H55" s="173"/>
      <c r="I55" s="174"/>
      <c r="J55" s="219" t="s">
        <v>199</v>
      </c>
      <c r="K55" s="178">
        <f>+$H$74*D55</f>
        <v>2213694.4054387119</v>
      </c>
      <c r="L55" s="217" t="s">
        <v>204</v>
      </c>
      <c r="M55" s="217"/>
    </row>
    <row r="56" spans="1:13" x14ac:dyDescent="0.25">
      <c r="A56" s="61"/>
      <c r="B56" s="40" t="s">
        <v>65</v>
      </c>
      <c r="C56" s="40"/>
      <c r="D56" s="41">
        <v>9.2999999999999999E-2</v>
      </c>
      <c r="E56" s="42">
        <v>13080</v>
      </c>
      <c r="F56" s="43">
        <v>31510</v>
      </c>
      <c r="G56" s="137">
        <f t="shared" si="7"/>
        <v>47087.040000000001</v>
      </c>
      <c r="H56" s="173"/>
      <c r="I56" s="174"/>
      <c r="J56" s="219"/>
      <c r="K56" s="178">
        <f>+$H$74*D56</f>
        <v>994558.35606666771</v>
      </c>
      <c r="L56" s="217"/>
      <c r="M56" s="217"/>
    </row>
    <row r="57" spans="1:13" x14ac:dyDescent="0.25">
      <c r="A57" s="61"/>
      <c r="B57" s="40" t="s">
        <v>65</v>
      </c>
      <c r="C57" s="40"/>
      <c r="D57" s="41">
        <v>0.2</v>
      </c>
      <c r="E57" s="42">
        <v>25660</v>
      </c>
      <c r="F57" s="43">
        <v>97870</v>
      </c>
      <c r="G57" s="137">
        <f t="shared" si="7"/>
        <v>130447.68000000001</v>
      </c>
      <c r="H57" s="173"/>
      <c r="I57" s="174"/>
      <c r="J57" s="219"/>
      <c r="K57" s="178">
        <f>+$H$74*D57</f>
        <v>2138835.17433692</v>
      </c>
      <c r="L57" s="217"/>
      <c r="M57" s="217"/>
    </row>
    <row r="58" spans="1:13" x14ac:dyDescent="0.25">
      <c r="A58" s="61"/>
      <c r="B58" s="30" t="s">
        <v>52</v>
      </c>
      <c r="C58" s="30" t="s">
        <v>33</v>
      </c>
      <c r="D58" s="31">
        <v>0.26700000000000002</v>
      </c>
      <c r="E58" s="32">
        <v>1107160</v>
      </c>
      <c r="F58" s="33">
        <v>9830</v>
      </c>
      <c r="G58" s="10">
        <f t="shared" si="7"/>
        <v>1179541.44</v>
      </c>
      <c r="H58" s="174"/>
      <c r="I58" s="173">
        <f>+G58/D58</f>
        <v>4417758.2022471903</v>
      </c>
      <c r="J58" s="39">
        <v>0.06</v>
      </c>
      <c r="K58" s="103">
        <f t="shared" ref="K58:K72" si="8">+G58*(1+J58)</f>
        <v>1250313.9264</v>
      </c>
      <c r="L58" s="10"/>
    </row>
    <row r="59" spans="1:13" x14ac:dyDescent="0.25">
      <c r="A59" s="61"/>
      <c r="B59" s="30" t="s">
        <v>52</v>
      </c>
      <c r="C59" s="30" t="s">
        <v>34</v>
      </c>
      <c r="D59" s="31">
        <v>6.9000000000000006E-2</v>
      </c>
      <c r="E59" s="32">
        <v>334400</v>
      </c>
      <c r="F59" s="33">
        <v>3790</v>
      </c>
      <c r="G59" s="10">
        <f t="shared" si="7"/>
        <v>357128.64</v>
      </c>
      <c r="H59" s="174"/>
      <c r="I59" s="173">
        <f>+G59/D59</f>
        <v>5175777.3913043477</v>
      </c>
      <c r="J59" s="39">
        <v>0.06</v>
      </c>
      <c r="K59" s="103">
        <f t="shared" si="8"/>
        <v>378556.35840000003</v>
      </c>
      <c r="L59" s="10"/>
    </row>
    <row r="60" spans="1:13" x14ac:dyDescent="0.25">
      <c r="A60" s="61"/>
      <c r="B60" s="30" t="s">
        <v>52</v>
      </c>
      <c r="C60" s="30" t="s">
        <v>35</v>
      </c>
      <c r="D60" s="31">
        <v>3.2000000000000001E-2</v>
      </c>
      <c r="E60" s="32">
        <v>166540</v>
      </c>
      <c r="F60" s="33">
        <v>1260</v>
      </c>
      <c r="G60" s="10">
        <f t="shared" si="7"/>
        <v>177196.80000000002</v>
      </c>
      <c r="H60" s="174"/>
      <c r="I60" s="173">
        <f>+G60/D60</f>
        <v>5537400</v>
      </c>
      <c r="J60" s="39">
        <v>0.06</v>
      </c>
      <c r="K60" s="103">
        <f t="shared" si="8"/>
        <v>187828.60800000004</v>
      </c>
      <c r="L60" s="10"/>
    </row>
    <row r="61" spans="1:13" x14ac:dyDescent="0.25">
      <c r="A61" s="61"/>
      <c r="B61" s="30" t="s">
        <v>58</v>
      </c>
      <c r="C61" s="30" t="s">
        <v>36</v>
      </c>
      <c r="D61" s="31">
        <v>6.2E-2</v>
      </c>
      <c r="E61" s="32">
        <v>295570</v>
      </c>
      <c r="F61" s="33">
        <v>2180</v>
      </c>
      <c r="G61" s="10">
        <f t="shared" si="7"/>
        <v>314424</v>
      </c>
      <c r="H61" s="174"/>
      <c r="I61" s="173">
        <f>+G61/D61</f>
        <v>5071354.8387096776</v>
      </c>
      <c r="J61" s="39">
        <v>0.06</v>
      </c>
      <c r="K61" s="103">
        <f t="shared" si="8"/>
        <v>333289.44</v>
      </c>
      <c r="L61" s="10"/>
    </row>
    <row r="62" spans="1:13" x14ac:dyDescent="0.25">
      <c r="A62" s="61"/>
      <c r="B62" s="30" t="s">
        <v>50</v>
      </c>
      <c r="C62" s="30" t="s">
        <v>37</v>
      </c>
      <c r="D62" s="31">
        <v>0.217</v>
      </c>
      <c r="E62" s="32">
        <v>1034550</v>
      </c>
      <c r="F62" s="33">
        <v>297080</v>
      </c>
      <c r="G62" s="10">
        <f t="shared" si="7"/>
        <v>1406201.28</v>
      </c>
      <c r="H62" s="173">
        <f>+G62/D62</f>
        <v>6480190.2304147463</v>
      </c>
      <c r="I62" s="173"/>
      <c r="J62" s="39">
        <v>0.06</v>
      </c>
      <c r="K62" s="103">
        <f t="shared" si="8"/>
        <v>1490573.3568000002</v>
      </c>
      <c r="L62" s="10"/>
    </row>
    <row r="63" spans="1:13" x14ac:dyDescent="0.25">
      <c r="A63" s="61"/>
      <c r="B63" s="30" t="s">
        <v>52</v>
      </c>
      <c r="C63" s="30" t="s">
        <v>38</v>
      </c>
      <c r="D63" s="31">
        <v>0.1084</v>
      </c>
      <c r="E63" s="32">
        <v>517440</v>
      </c>
      <c r="F63" s="33">
        <v>192620</v>
      </c>
      <c r="G63" s="10">
        <f t="shared" si="7"/>
        <v>749823.36</v>
      </c>
      <c r="H63" s="175"/>
      <c r="I63" s="173">
        <f>+G63/D63</f>
        <v>6917189.6678966787</v>
      </c>
      <c r="J63" s="39">
        <v>0.06</v>
      </c>
      <c r="K63" s="103">
        <f t="shared" si="8"/>
        <v>794812.76159999997</v>
      </c>
      <c r="L63" s="10"/>
    </row>
    <row r="64" spans="1:13" x14ac:dyDescent="0.25">
      <c r="A64" s="61"/>
      <c r="B64" s="30" t="s">
        <v>57</v>
      </c>
      <c r="C64" s="30" t="s">
        <v>39</v>
      </c>
      <c r="D64" s="31">
        <v>6.7000000000000004E-2</v>
      </c>
      <c r="E64" s="32">
        <v>321090</v>
      </c>
      <c r="F64" s="33">
        <v>2100</v>
      </c>
      <c r="G64" s="10">
        <f t="shared" si="7"/>
        <v>341288.64</v>
      </c>
      <c r="H64" s="173"/>
      <c r="I64" s="174"/>
      <c r="J64" s="39">
        <v>0.06</v>
      </c>
      <c r="K64" s="103">
        <f t="shared" si="8"/>
        <v>361765.95840000006</v>
      </c>
      <c r="L64" s="10"/>
    </row>
    <row r="65" spans="1:24" x14ac:dyDescent="0.25">
      <c r="A65" s="61"/>
      <c r="B65" s="30" t="s">
        <v>51</v>
      </c>
      <c r="C65" s="30" t="s">
        <v>40</v>
      </c>
      <c r="D65" s="31">
        <v>1.1499999999999999</v>
      </c>
      <c r="E65" s="32">
        <v>5510340</v>
      </c>
      <c r="F65" s="33">
        <v>4166570</v>
      </c>
      <c r="G65" s="10">
        <f t="shared" si="7"/>
        <v>10218816.960000001</v>
      </c>
      <c r="H65" s="173">
        <f t="shared" ref="H65:H72" si="9">+G65/D65</f>
        <v>8885927.7913043499</v>
      </c>
      <c r="I65" s="174"/>
      <c r="J65" s="39">
        <v>0.06</v>
      </c>
      <c r="K65" s="103">
        <f t="shared" si="8"/>
        <v>10831945.977600001</v>
      </c>
      <c r="L65" s="10"/>
    </row>
    <row r="66" spans="1:24" x14ac:dyDescent="0.25">
      <c r="A66" s="61"/>
      <c r="B66" s="30" t="s">
        <v>53</v>
      </c>
      <c r="C66" s="30" t="s">
        <v>41</v>
      </c>
      <c r="D66" s="31">
        <v>0.16600000000000001</v>
      </c>
      <c r="E66" s="32">
        <v>911250</v>
      </c>
      <c r="F66" s="33">
        <v>1121230</v>
      </c>
      <c r="G66" s="10">
        <f t="shared" si="7"/>
        <v>2146298.8799999999</v>
      </c>
      <c r="H66" s="173">
        <f t="shared" si="9"/>
        <v>12929511.325301204</v>
      </c>
      <c r="I66" s="174"/>
      <c r="J66" s="39">
        <v>0.06</v>
      </c>
      <c r="K66" s="103">
        <f t="shared" si="8"/>
        <v>2275076.8128</v>
      </c>
      <c r="L66" s="10"/>
    </row>
    <row r="67" spans="1:24" x14ac:dyDescent="0.25">
      <c r="A67" s="61"/>
      <c r="B67" s="30" t="s">
        <v>56</v>
      </c>
      <c r="C67" s="30" t="s">
        <v>42</v>
      </c>
      <c r="D67" s="31">
        <v>0.154</v>
      </c>
      <c r="E67" s="32">
        <v>904200</v>
      </c>
      <c r="F67" s="33">
        <v>0</v>
      </c>
      <c r="G67" s="10">
        <f t="shared" si="7"/>
        <v>954835.20000000007</v>
      </c>
      <c r="H67" s="173">
        <f t="shared" si="9"/>
        <v>6200228.5714285718</v>
      </c>
      <c r="I67" s="174"/>
      <c r="J67" s="39">
        <v>0.06</v>
      </c>
      <c r="K67" s="103">
        <f t="shared" si="8"/>
        <v>1012125.3120000002</v>
      </c>
      <c r="L67" s="10"/>
    </row>
    <row r="68" spans="1:24" x14ac:dyDescent="0.25">
      <c r="A68" s="61"/>
      <c r="B68" s="30" t="s">
        <v>54</v>
      </c>
      <c r="C68" s="30" t="s">
        <v>43</v>
      </c>
      <c r="D68" s="31">
        <v>0.58599999999999997</v>
      </c>
      <c r="E68" s="32">
        <v>3194960</v>
      </c>
      <c r="F68" s="33">
        <v>2799410</v>
      </c>
      <c r="G68" s="10">
        <f t="shared" si="7"/>
        <v>6330054.7200000007</v>
      </c>
      <c r="H68" s="173">
        <f t="shared" si="9"/>
        <v>10802141.160409559</v>
      </c>
      <c r="I68" s="174"/>
      <c r="J68" s="39">
        <v>0.06</v>
      </c>
      <c r="K68" s="103">
        <f t="shared" si="8"/>
        <v>6709858.0032000011</v>
      </c>
      <c r="L68" s="10"/>
    </row>
    <row r="69" spans="1:24" x14ac:dyDescent="0.25">
      <c r="A69" s="61"/>
      <c r="B69" s="30" t="s">
        <v>53</v>
      </c>
      <c r="C69" s="30" t="s">
        <v>44</v>
      </c>
      <c r="D69" s="31">
        <v>0.39</v>
      </c>
      <c r="E69" s="32">
        <v>2329280</v>
      </c>
      <c r="F69" s="33">
        <v>679180</v>
      </c>
      <c r="G69" s="10">
        <f t="shared" si="7"/>
        <v>3176933.7600000002</v>
      </c>
      <c r="H69" s="173">
        <f t="shared" si="9"/>
        <v>8145984</v>
      </c>
      <c r="I69" s="174"/>
      <c r="J69" s="39">
        <v>0.06</v>
      </c>
      <c r="K69" s="103">
        <f t="shared" si="8"/>
        <v>3367549.7856000005</v>
      </c>
      <c r="L69" s="10"/>
    </row>
    <row r="70" spans="1:24" ht="18.75" x14ac:dyDescent="0.3">
      <c r="A70" s="61"/>
      <c r="B70" s="26" t="s">
        <v>66</v>
      </c>
      <c r="C70" s="30" t="s">
        <v>45</v>
      </c>
      <c r="D70" s="31">
        <v>0.43099999999999999</v>
      </c>
      <c r="E70" s="32">
        <v>2534490</v>
      </c>
      <c r="F70" s="33">
        <v>63676690</v>
      </c>
      <c r="G70" s="10">
        <f t="shared" si="7"/>
        <v>69919006.079999998</v>
      </c>
      <c r="H70" s="173">
        <f t="shared" si="9"/>
        <v>162225072.11136889</v>
      </c>
      <c r="I70" s="174"/>
      <c r="J70" s="100">
        <v>0.04</v>
      </c>
      <c r="K70" s="103">
        <f t="shared" si="8"/>
        <v>72715766.323200002</v>
      </c>
      <c r="L70" t="s">
        <v>323</v>
      </c>
    </row>
    <row r="71" spans="1:24" ht="18.75" x14ac:dyDescent="0.3">
      <c r="A71" s="61"/>
      <c r="B71" s="30" t="s">
        <v>53</v>
      </c>
      <c r="C71" s="30" t="s">
        <v>46</v>
      </c>
      <c r="D71" s="31">
        <v>0.44600000000000001</v>
      </c>
      <c r="E71" s="32">
        <v>2619270</v>
      </c>
      <c r="F71" s="33">
        <v>1851800</v>
      </c>
      <c r="G71" s="10">
        <f t="shared" si="7"/>
        <v>4721449.92</v>
      </c>
      <c r="H71" s="173">
        <f t="shared" si="9"/>
        <v>10586210.582959641</v>
      </c>
      <c r="I71" s="174"/>
      <c r="J71" s="100">
        <v>0.04</v>
      </c>
      <c r="K71" s="103">
        <f t="shared" si="8"/>
        <v>4910307.9167999998</v>
      </c>
      <c r="L71" t="s">
        <v>323</v>
      </c>
    </row>
    <row r="72" spans="1:24" ht="19.5" thickBot="1" x14ac:dyDescent="0.35">
      <c r="A72" s="61"/>
      <c r="B72" s="34" t="s">
        <v>55</v>
      </c>
      <c r="C72" s="34" t="s">
        <v>47</v>
      </c>
      <c r="D72" s="35">
        <v>4.4999999999999998E-2</v>
      </c>
      <c r="E72" s="36">
        <v>225060</v>
      </c>
      <c r="F72" s="37">
        <v>308860</v>
      </c>
      <c r="G72" s="10">
        <f t="shared" si="7"/>
        <v>563819.52000000002</v>
      </c>
      <c r="H72" s="173">
        <f t="shared" si="9"/>
        <v>12529322.666666668</v>
      </c>
      <c r="I72" s="174"/>
      <c r="J72" s="100">
        <v>0.04</v>
      </c>
      <c r="K72" s="103">
        <f t="shared" si="8"/>
        <v>586372.30080000008</v>
      </c>
      <c r="L72" t="s">
        <v>323</v>
      </c>
    </row>
    <row r="73" spans="1:24" ht="18.75" x14ac:dyDescent="0.3">
      <c r="A73" s="61"/>
      <c r="F73" s="72" t="s">
        <v>128</v>
      </c>
      <c r="G73" s="106">
        <f>SUM(G54:G72)</f>
        <v>154067717.75999999</v>
      </c>
      <c r="H73" s="174"/>
      <c r="I73" s="174"/>
      <c r="J73" s="72" t="s">
        <v>129</v>
      </c>
      <c r="K73" s="106">
        <f>SUM(K54:K72)</f>
        <v>165833804.12784231</v>
      </c>
    </row>
    <row r="74" spans="1:24" ht="18.75" x14ac:dyDescent="0.3">
      <c r="A74" s="61"/>
      <c r="G74" s="176" t="s">
        <v>112</v>
      </c>
      <c r="H74" s="177">
        <f>MEDIAN(H54:H72)</f>
        <v>10694175.8716846</v>
      </c>
      <c r="I74" s="177">
        <f>MEDIAN(I54:I72)</f>
        <v>5175777.3913043477</v>
      </c>
      <c r="J74" s="72" t="s">
        <v>130</v>
      </c>
      <c r="K74" s="106">
        <f>+K73-G73</f>
        <v>11766086.367842317</v>
      </c>
      <c r="L74" s="10"/>
    </row>
    <row r="75" spans="1:24" x14ac:dyDescent="0.25">
      <c r="G75" s="59"/>
      <c r="H75" s="60"/>
      <c r="I75" s="60"/>
      <c r="L75" s="10"/>
    </row>
    <row r="80" spans="1:24" ht="18.75" x14ac:dyDescent="0.3">
      <c r="A80" s="179"/>
      <c r="B80" s="115" t="s">
        <v>202</v>
      </c>
      <c r="C80" s="44"/>
      <c r="D80" s="44"/>
      <c r="E80" s="44"/>
      <c r="F80" s="44"/>
      <c r="G80" s="59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</row>
    <row r="81" spans="1:10" ht="15.75" x14ac:dyDescent="0.25">
      <c r="A81" s="179"/>
      <c r="B81" s="118" t="s">
        <v>67</v>
      </c>
      <c r="C81" s="101">
        <v>23</v>
      </c>
      <c r="D81" s="205">
        <v>25</v>
      </c>
      <c r="E81" s="205">
        <v>27</v>
      </c>
      <c r="F81" s="101">
        <v>28</v>
      </c>
      <c r="G81" s="1"/>
      <c r="J81" s="48"/>
    </row>
    <row r="82" spans="1:10" ht="45" x14ac:dyDescent="0.25">
      <c r="A82" s="179"/>
      <c r="B82" s="119" t="s">
        <v>89</v>
      </c>
      <c r="C82" s="116" t="s">
        <v>91</v>
      </c>
      <c r="D82" s="208" t="s">
        <v>116</v>
      </c>
      <c r="E82" s="208" t="s">
        <v>117</v>
      </c>
      <c r="F82" s="116" t="s">
        <v>91</v>
      </c>
    </row>
    <row r="83" spans="1:10" x14ac:dyDescent="0.25">
      <c r="A83" s="179"/>
      <c r="B83" s="44" t="s">
        <v>72</v>
      </c>
      <c r="C83" s="102">
        <v>50000</v>
      </c>
      <c r="D83" s="206">
        <v>50075</v>
      </c>
      <c r="E83" s="206">
        <v>31950</v>
      </c>
      <c r="F83" s="102">
        <v>31950</v>
      </c>
    </row>
    <row r="84" spans="1:10" x14ac:dyDescent="0.25">
      <c r="A84" s="179"/>
      <c r="B84" s="44" t="s">
        <v>73</v>
      </c>
      <c r="C84" s="44">
        <v>1.147</v>
      </c>
      <c r="D84" s="201">
        <v>1.149</v>
      </c>
      <c r="E84" s="201">
        <v>0.73299999999999998</v>
      </c>
      <c r="F84" s="44">
        <v>0.73299999999999998</v>
      </c>
    </row>
    <row r="85" spans="1:10" x14ac:dyDescent="0.25">
      <c r="A85" s="179"/>
      <c r="B85" s="44" t="s">
        <v>82</v>
      </c>
      <c r="C85" s="44">
        <v>149</v>
      </c>
      <c r="D85" s="201">
        <v>283</v>
      </c>
      <c r="E85" s="201">
        <v>170</v>
      </c>
      <c r="F85" s="44">
        <v>45</v>
      </c>
    </row>
    <row r="86" spans="1:10" x14ac:dyDescent="0.25">
      <c r="A86" s="179"/>
      <c r="B86" s="44" t="s">
        <v>80</v>
      </c>
      <c r="C86" s="44">
        <v>1</v>
      </c>
      <c r="D86" s="201">
        <v>2</v>
      </c>
      <c r="E86" s="201">
        <v>2</v>
      </c>
      <c r="F86" s="44">
        <v>1</v>
      </c>
    </row>
    <row r="87" spans="1:10" x14ac:dyDescent="0.25">
      <c r="A87" s="179"/>
      <c r="B87" s="44" t="s">
        <v>81</v>
      </c>
      <c r="C87" s="44">
        <v>180</v>
      </c>
      <c r="D87" s="201">
        <v>330</v>
      </c>
      <c r="E87" s="201">
        <v>200</v>
      </c>
      <c r="F87" s="44">
        <v>50</v>
      </c>
    </row>
    <row r="88" spans="1:10" x14ac:dyDescent="0.25">
      <c r="A88" s="179"/>
      <c r="B88" s="44" t="s">
        <v>83</v>
      </c>
      <c r="C88" s="44"/>
      <c r="D88" s="201">
        <v>150</v>
      </c>
      <c r="E88" s="201"/>
      <c r="F88" s="44"/>
    </row>
    <row r="89" spans="1:10" x14ac:dyDescent="0.25">
      <c r="A89" s="179"/>
      <c r="B89" s="44"/>
      <c r="C89" s="44"/>
      <c r="D89" s="201"/>
      <c r="E89" s="201"/>
      <c r="F89" s="44"/>
    </row>
    <row r="90" spans="1:10" x14ac:dyDescent="0.25">
      <c r="A90" s="179"/>
      <c r="B90" s="120" t="s">
        <v>99</v>
      </c>
      <c r="C90" s="44"/>
      <c r="D90" s="201"/>
      <c r="E90" s="201"/>
      <c r="F90" s="44"/>
    </row>
    <row r="91" spans="1:10" ht="30" x14ac:dyDescent="0.25">
      <c r="A91" s="179"/>
      <c r="B91" s="180" t="s">
        <v>118</v>
      </c>
      <c r="C91" s="73">
        <f>4500000*C84*0.7</f>
        <v>3613050</v>
      </c>
      <c r="D91" s="204">
        <f>4500000*D84*0.7</f>
        <v>3619350</v>
      </c>
      <c r="E91" s="204">
        <f>4500000*E84*0.7</f>
        <v>2308950</v>
      </c>
      <c r="F91" s="73">
        <f>4500000*F84*0.7</f>
        <v>2308950</v>
      </c>
      <c r="G91" s="111" t="s">
        <v>85</v>
      </c>
      <c r="I91" s="111"/>
      <c r="J91" s="111"/>
    </row>
    <row r="92" spans="1:10" x14ac:dyDescent="0.25">
      <c r="A92" s="179"/>
      <c r="B92" s="105"/>
      <c r="C92" s="73"/>
      <c r="D92" s="204"/>
      <c r="E92" s="204"/>
      <c r="F92" s="73"/>
      <c r="G92" s="111" t="s">
        <v>86</v>
      </c>
      <c r="I92" s="111"/>
      <c r="J92" s="111"/>
    </row>
    <row r="93" spans="1:10" x14ac:dyDescent="0.25">
      <c r="A93" s="179"/>
      <c r="B93" s="121" t="s">
        <v>317</v>
      </c>
      <c r="C93" s="73"/>
      <c r="D93" s="204">
        <v>23000000</v>
      </c>
      <c r="E93" s="204">
        <v>11000000</v>
      </c>
      <c r="F93" s="73"/>
    </row>
    <row r="94" spans="1:10" x14ac:dyDescent="0.25">
      <c r="A94" s="179"/>
      <c r="B94" s="44" t="s">
        <v>97</v>
      </c>
      <c r="C94" s="117" t="s">
        <v>201</v>
      </c>
      <c r="D94" s="209" t="s">
        <v>201</v>
      </c>
      <c r="E94" s="209" t="s">
        <v>201</v>
      </c>
      <c r="F94" s="117" t="s">
        <v>201</v>
      </c>
      <c r="G94" s="10"/>
    </row>
    <row r="95" spans="1:10" x14ac:dyDescent="0.25">
      <c r="A95" s="179"/>
      <c r="B95" s="44" t="s">
        <v>98</v>
      </c>
      <c r="C95" s="73">
        <v>12000000</v>
      </c>
      <c r="D95" s="204">
        <v>110000000</v>
      </c>
      <c r="E95" s="204">
        <v>30000000</v>
      </c>
      <c r="F95" s="73">
        <v>6000000</v>
      </c>
      <c r="G95" s="10" t="s">
        <v>88</v>
      </c>
    </row>
    <row r="96" spans="1:10" ht="15" customHeight="1" x14ac:dyDescent="0.25">
      <c r="A96" s="179"/>
      <c r="B96" s="215" t="s">
        <v>71</v>
      </c>
      <c r="C96" s="220" t="s">
        <v>105</v>
      </c>
      <c r="D96" s="220" t="s">
        <v>311</v>
      </c>
      <c r="E96" s="220" t="s">
        <v>105</v>
      </c>
      <c r="F96" s="220" t="s">
        <v>105</v>
      </c>
    </row>
    <row r="97" spans="1:9" x14ac:dyDescent="0.25">
      <c r="A97" s="179"/>
      <c r="B97" s="215"/>
      <c r="C97" s="220"/>
      <c r="D97" s="220"/>
      <c r="E97" s="220"/>
      <c r="F97" s="220"/>
    </row>
    <row r="98" spans="1:9" ht="30" x14ac:dyDescent="0.25">
      <c r="A98" s="179"/>
      <c r="B98" s="105" t="s">
        <v>312</v>
      </c>
      <c r="C98" s="73">
        <v>5000000</v>
      </c>
      <c r="D98" s="204">
        <v>45000000</v>
      </c>
      <c r="E98" s="204">
        <v>15000000</v>
      </c>
      <c r="F98" s="73">
        <v>3000000</v>
      </c>
    </row>
    <row r="99" spans="1:9" x14ac:dyDescent="0.25">
      <c r="A99" s="179"/>
      <c r="B99" s="105"/>
      <c r="C99" s="73"/>
      <c r="D99" s="204"/>
      <c r="E99" s="204"/>
      <c r="F99" s="73"/>
    </row>
    <row r="100" spans="1:9" x14ac:dyDescent="0.25">
      <c r="A100" s="179"/>
      <c r="B100" s="122" t="s">
        <v>316</v>
      </c>
      <c r="C100" s="73"/>
      <c r="D100" s="204"/>
      <c r="E100" s="204"/>
      <c r="F100" s="73"/>
      <c r="I100" s="10"/>
    </row>
    <row r="101" spans="1:9" x14ac:dyDescent="0.25">
      <c r="A101" s="179"/>
      <c r="B101" s="105"/>
      <c r="C101" s="73">
        <f>+C95-C98-C91</f>
        <v>3386950</v>
      </c>
      <c r="D101" s="204">
        <f t="shared" ref="D101:F101" si="10">+D95-D98-D91</f>
        <v>61380650</v>
      </c>
      <c r="E101" s="204">
        <f t="shared" si="10"/>
        <v>12691050</v>
      </c>
      <c r="F101" s="204">
        <f t="shared" si="10"/>
        <v>691050</v>
      </c>
      <c r="I101" s="10"/>
    </row>
    <row r="102" spans="1:9" ht="30" x14ac:dyDescent="0.25">
      <c r="A102" s="179"/>
      <c r="B102" s="47" t="s">
        <v>87</v>
      </c>
      <c r="C102" s="67">
        <v>1</v>
      </c>
      <c r="D102" s="203">
        <v>1</v>
      </c>
      <c r="E102" s="203">
        <v>1</v>
      </c>
      <c r="F102" s="67">
        <v>1</v>
      </c>
      <c r="G102" s="59" t="s">
        <v>111</v>
      </c>
    </row>
    <row r="103" spans="1:9" ht="30" x14ac:dyDescent="0.25">
      <c r="A103" s="179"/>
      <c r="B103" s="62" t="s">
        <v>200</v>
      </c>
      <c r="C103" s="187">
        <f>+C101*C102</f>
        <v>3386950</v>
      </c>
      <c r="D103" s="202">
        <f>+D101*D102</f>
        <v>61380650</v>
      </c>
      <c r="E103" s="202">
        <f>+E101*E102</f>
        <v>12691050</v>
      </c>
      <c r="F103" s="187">
        <f>+F101*F102</f>
        <v>691050</v>
      </c>
      <c r="G103" s="188">
        <f>SUM(C103:F103)</f>
        <v>78149700</v>
      </c>
    </row>
    <row r="104" spans="1:9" x14ac:dyDescent="0.25">
      <c r="A104" s="179"/>
      <c r="B104" s="44"/>
      <c r="C104" s="69"/>
      <c r="D104" s="69"/>
      <c r="E104" s="69"/>
      <c r="F104" s="69"/>
    </row>
    <row r="105" spans="1:9" x14ac:dyDescent="0.25">
      <c r="H105" s="48"/>
    </row>
    <row r="107" spans="1:9" x14ac:dyDescent="0.25">
      <c r="B107" s="49"/>
    </row>
    <row r="108" spans="1:9" ht="18.75" x14ac:dyDescent="0.3">
      <c r="A108" s="153"/>
      <c r="B108" s="93" t="s">
        <v>318</v>
      </c>
      <c r="C108" s="153"/>
      <c r="D108" s="153"/>
      <c r="E108" s="153"/>
      <c r="F108" s="153"/>
    </row>
    <row r="109" spans="1:9" x14ac:dyDescent="0.25">
      <c r="A109" s="153"/>
    </row>
    <row r="110" spans="1:9" ht="15.75" x14ac:dyDescent="0.25">
      <c r="A110" s="153"/>
      <c r="B110" s="51" t="s">
        <v>67</v>
      </c>
      <c r="C110" s="51">
        <v>1</v>
      </c>
      <c r="D110" s="51">
        <v>13</v>
      </c>
    </row>
    <row r="111" spans="1:9" x14ac:dyDescent="0.25">
      <c r="A111" s="153"/>
    </row>
    <row r="112" spans="1:9" x14ac:dyDescent="0.25">
      <c r="A112" s="153"/>
      <c r="B112" t="s">
        <v>68</v>
      </c>
      <c r="C112" t="s">
        <v>69</v>
      </c>
      <c r="D112" t="s">
        <v>69</v>
      </c>
    </row>
    <row r="113" spans="1:4" x14ac:dyDescent="0.25">
      <c r="A113" s="153"/>
      <c r="B113" t="s">
        <v>71</v>
      </c>
      <c r="C113" t="s">
        <v>69</v>
      </c>
      <c r="D113" t="s">
        <v>69</v>
      </c>
    </row>
    <row r="114" spans="1:4" x14ac:dyDescent="0.25">
      <c r="A114" s="153"/>
      <c r="B114" t="s">
        <v>89</v>
      </c>
      <c r="C114" s="46" t="s">
        <v>90</v>
      </c>
      <c r="D114" s="46" t="s">
        <v>90</v>
      </c>
    </row>
    <row r="115" spans="1:4" x14ac:dyDescent="0.25">
      <c r="A115" s="153"/>
      <c r="B115" t="s">
        <v>72</v>
      </c>
      <c r="C115" s="45">
        <v>98740</v>
      </c>
      <c r="D115" s="45">
        <v>51790</v>
      </c>
    </row>
    <row r="116" spans="1:4" x14ac:dyDescent="0.25">
      <c r="A116" s="153"/>
      <c r="B116" t="s">
        <v>73</v>
      </c>
      <c r="C116">
        <v>2.2599999999999998</v>
      </c>
      <c r="D116">
        <v>1.19</v>
      </c>
    </row>
    <row r="117" spans="1:4" x14ac:dyDescent="0.25">
      <c r="A117" s="153"/>
      <c r="B117" t="s">
        <v>82</v>
      </c>
    </row>
    <row r="118" spans="1:4" x14ac:dyDescent="0.25">
      <c r="A118" s="153"/>
      <c r="B118" t="s">
        <v>80</v>
      </c>
    </row>
    <row r="119" spans="1:4" x14ac:dyDescent="0.25">
      <c r="A119" s="153"/>
      <c r="B119" t="s">
        <v>81</v>
      </c>
    </row>
    <row r="120" spans="1:4" x14ac:dyDescent="0.25">
      <c r="A120" s="153"/>
      <c r="B120" t="s">
        <v>83</v>
      </c>
    </row>
    <row r="121" spans="1:4" x14ac:dyDescent="0.25">
      <c r="A121" s="153"/>
    </row>
    <row r="122" spans="1:4" x14ac:dyDescent="0.25">
      <c r="A122" s="153"/>
      <c r="B122" s="52" t="s">
        <v>99</v>
      </c>
    </row>
    <row r="123" spans="1:4" x14ac:dyDescent="0.25">
      <c r="A123" s="153"/>
      <c r="B123" t="s">
        <v>97</v>
      </c>
      <c r="C123" s="10"/>
      <c r="D123" s="10"/>
    </row>
    <row r="124" spans="1:4" x14ac:dyDescent="0.25">
      <c r="A124" s="153"/>
      <c r="B124" t="s">
        <v>98</v>
      </c>
      <c r="C124" s="10"/>
      <c r="D124" s="10"/>
    </row>
    <row r="125" spans="1:4" x14ac:dyDescent="0.25">
      <c r="A125" s="153"/>
      <c r="B125" t="s">
        <v>84</v>
      </c>
      <c r="C125" s="10">
        <f>4500000*C116*0.7</f>
        <v>7118999.9999999981</v>
      </c>
      <c r="D125" s="10">
        <f>4500000*D116*0.7</f>
        <v>3748499.9999999995</v>
      </c>
    </row>
    <row r="126" spans="1:4" ht="30" x14ac:dyDescent="0.25">
      <c r="A126" s="153"/>
      <c r="B126" s="4" t="s">
        <v>100</v>
      </c>
      <c r="C126" s="10">
        <f>+C125</f>
        <v>7118999.9999999981</v>
      </c>
      <c r="D126" s="10">
        <f>+D125</f>
        <v>3748499.9999999995</v>
      </c>
    </row>
    <row r="127" spans="1:4" x14ac:dyDescent="0.25">
      <c r="A127" s="153"/>
      <c r="B127" s="4"/>
      <c r="C127" s="10"/>
      <c r="D127" s="10"/>
    </row>
    <row r="128" spans="1:4" x14ac:dyDescent="0.25">
      <c r="A128" s="153"/>
      <c r="C128" s="10"/>
      <c r="D128" s="10"/>
    </row>
    <row r="129" spans="1:6" x14ac:dyDescent="0.25">
      <c r="A129" s="153"/>
      <c r="B129" s="53" t="s">
        <v>126</v>
      </c>
      <c r="C129" s="10"/>
      <c r="D129" s="10"/>
    </row>
    <row r="130" spans="1:6" x14ac:dyDescent="0.25">
      <c r="A130" s="153"/>
      <c r="B130" t="s">
        <v>97</v>
      </c>
      <c r="C130" s="10">
        <v>31000000</v>
      </c>
      <c r="D130" s="10">
        <v>12000000</v>
      </c>
    </row>
    <row r="131" spans="1:6" x14ac:dyDescent="0.25">
      <c r="A131" s="153"/>
      <c r="B131" t="s">
        <v>98</v>
      </c>
      <c r="C131" s="10">
        <v>120000000</v>
      </c>
      <c r="D131" s="10">
        <v>45000000</v>
      </c>
    </row>
    <row r="132" spans="1:6" ht="30" x14ac:dyDescent="0.25">
      <c r="A132" s="153"/>
      <c r="B132" s="4" t="s">
        <v>101</v>
      </c>
      <c r="C132" s="10"/>
      <c r="D132" s="10"/>
    </row>
    <row r="133" spans="1:6" x14ac:dyDescent="0.25">
      <c r="A133" s="153"/>
      <c r="B133" s="4" t="s">
        <v>102</v>
      </c>
      <c r="C133" s="10" t="s">
        <v>103</v>
      </c>
      <c r="D133" s="10" t="s">
        <v>104</v>
      </c>
    </row>
    <row r="134" spans="1:6" x14ac:dyDescent="0.25">
      <c r="A134" s="153"/>
      <c r="B134" s="4"/>
      <c r="C134" s="10"/>
      <c r="D134" s="10"/>
    </row>
    <row r="135" spans="1:6" ht="15.75" x14ac:dyDescent="0.25">
      <c r="A135" s="153"/>
      <c r="B135" s="152" t="s">
        <v>303</v>
      </c>
      <c r="C135" s="154">
        <v>0.06</v>
      </c>
      <c r="D135" s="154">
        <v>0.06</v>
      </c>
      <c r="E135" s="155" t="s">
        <v>111</v>
      </c>
    </row>
    <row r="136" spans="1:6" ht="15.75" x14ac:dyDescent="0.25">
      <c r="A136" s="153"/>
      <c r="B136" s="153" t="s">
        <v>125</v>
      </c>
      <c r="C136" s="92">
        <f>+C131*C135</f>
        <v>7200000</v>
      </c>
      <c r="D136" s="92">
        <f>+D131*D135</f>
        <v>2700000</v>
      </c>
      <c r="E136" s="156">
        <f>+D136+C136</f>
        <v>9900000</v>
      </c>
    </row>
    <row r="137" spans="1:6" x14ac:dyDescent="0.25">
      <c r="A137" s="201"/>
      <c r="B137" s="47"/>
      <c r="C137" s="67"/>
    </row>
    <row r="138" spans="1:6" x14ac:dyDescent="0.25">
      <c r="A138" s="44"/>
      <c r="B138" s="44"/>
      <c r="C138" s="69"/>
    </row>
    <row r="140" spans="1:6" ht="18.75" x14ac:dyDescent="0.3">
      <c r="A140" s="64"/>
      <c r="B140" s="181" t="s">
        <v>320</v>
      </c>
      <c r="C140" s="64"/>
      <c r="D140" s="64"/>
      <c r="E140" s="64"/>
      <c r="F140" s="64"/>
    </row>
    <row r="141" spans="1:6" x14ac:dyDescent="0.25">
      <c r="A141" s="64"/>
    </row>
    <row r="142" spans="1:6" ht="15.75" x14ac:dyDescent="0.25">
      <c r="A142" s="64"/>
      <c r="B142" s="51" t="s">
        <v>67</v>
      </c>
      <c r="C142" s="101" t="s">
        <v>74</v>
      </c>
      <c r="D142" s="101">
        <v>19</v>
      </c>
    </row>
    <row r="143" spans="1:6" x14ac:dyDescent="0.25">
      <c r="A143" s="64"/>
      <c r="C143" s="44"/>
      <c r="D143" s="47"/>
    </row>
    <row r="144" spans="1:6" x14ac:dyDescent="0.25">
      <c r="A144" s="64"/>
      <c r="B144" t="s">
        <v>68</v>
      </c>
      <c r="C144" s="44" t="s">
        <v>69</v>
      </c>
      <c r="D144" s="44" t="s">
        <v>69</v>
      </c>
    </row>
    <row r="145" spans="1:5" x14ac:dyDescent="0.25">
      <c r="A145" s="64"/>
      <c r="B145" t="s">
        <v>71</v>
      </c>
      <c r="C145" s="44" t="s">
        <v>69</v>
      </c>
      <c r="D145" s="47"/>
    </row>
    <row r="146" spans="1:5" ht="44.25" customHeight="1" x14ac:dyDescent="0.25">
      <c r="A146" s="64"/>
      <c r="B146" t="s">
        <v>89</v>
      </c>
      <c r="C146" s="47" t="s">
        <v>124</v>
      </c>
      <c r="D146" s="47" t="s">
        <v>124</v>
      </c>
    </row>
    <row r="147" spans="1:5" x14ac:dyDescent="0.25">
      <c r="A147" s="64"/>
      <c r="B147" t="s">
        <v>72</v>
      </c>
      <c r="C147" s="102">
        <v>25616</v>
      </c>
      <c r="D147" s="44"/>
    </row>
    <row r="148" spans="1:5" x14ac:dyDescent="0.25">
      <c r="A148" s="64"/>
      <c r="B148" t="s">
        <v>73</v>
      </c>
      <c r="C148" s="44">
        <v>0.59</v>
      </c>
      <c r="D148" s="182">
        <v>0.45</v>
      </c>
      <c r="E148" s="66" t="s">
        <v>313</v>
      </c>
    </row>
    <row r="149" spans="1:5" x14ac:dyDescent="0.25">
      <c r="A149" s="64"/>
      <c r="B149" t="s">
        <v>82</v>
      </c>
      <c r="C149" s="44"/>
      <c r="D149" s="44"/>
    </row>
    <row r="150" spans="1:5" x14ac:dyDescent="0.25">
      <c r="A150" s="64"/>
      <c r="C150" s="44"/>
      <c r="D150" s="44"/>
    </row>
    <row r="151" spans="1:5" x14ac:dyDescent="0.25">
      <c r="A151" s="64"/>
      <c r="B151" s="52" t="s">
        <v>99</v>
      </c>
      <c r="C151" s="44"/>
      <c r="D151" s="44"/>
    </row>
    <row r="152" spans="1:5" x14ac:dyDescent="0.25">
      <c r="A152" s="64"/>
      <c r="B152" t="s">
        <v>97</v>
      </c>
      <c r="C152" s="73">
        <v>18500000</v>
      </c>
      <c r="D152" s="44"/>
    </row>
    <row r="153" spans="1:5" x14ac:dyDescent="0.25">
      <c r="A153" s="64"/>
      <c r="B153" t="s">
        <v>98</v>
      </c>
      <c r="C153" s="73">
        <v>95000000</v>
      </c>
      <c r="D153" s="44"/>
    </row>
    <row r="154" spans="1:5" x14ac:dyDescent="0.25">
      <c r="A154" s="64"/>
      <c r="B154" t="s">
        <v>84</v>
      </c>
      <c r="C154" s="73">
        <f>4500000*C148*0.7</f>
        <v>1858499.9999999998</v>
      </c>
      <c r="D154" s="73"/>
    </row>
    <row r="155" spans="1:5" ht="30" x14ac:dyDescent="0.25">
      <c r="A155" s="64"/>
      <c r="B155" s="4" t="s">
        <v>100</v>
      </c>
      <c r="C155" s="73">
        <f>+C154</f>
        <v>1858499.9999999998</v>
      </c>
      <c r="D155" s="44">
        <v>0</v>
      </c>
    </row>
    <row r="156" spans="1:5" x14ac:dyDescent="0.25">
      <c r="A156" s="64"/>
      <c r="B156" s="4"/>
      <c r="C156" s="73"/>
      <c r="D156" s="44"/>
    </row>
    <row r="157" spans="1:5" x14ac:dyDescent="0.25">
      <c r="A157" s="64"/>
      <c r="C157" s="73"/>
      <c r="D157" s="44"/>
    </row>
    <row r="158" spans="1:5" x14ac:dyDescent="0.25">
      <c r="A158" s="64"/>
      <c r="B158" s="53" t="s">
        <v>126</v>
      </c>
      <c r="C158" s="73"/>
      <c r="D158" s="44"/>
    </row>
    <row r="159" spans="1:5" x14ac:dyDescent="0.25">
      <c r="A159" s="64"/>
      <c r="B159" t="s">
        <v>97</v>
      </c>
      <c r="C159" s="73">
        <f>+C152</f>
        <v>18500000</v>
      </c>
      <c r="D159" s="44"/>
    </row>
    <row r="160" spans="1:5" x14ac:dyDescent="0.25">
      <c r="A160" s="64"/>
      <c r="B160" t="s">
        <v>98</v>
      </c>
      <c r="C160" s="73">
        <v>90000000</v>
      </c>
      <c r="D160" s="73">
        <v>10000000</v>
      </c>
    </row>
    <row r="161" spans="1:7" ht="30" x14ac:dyDescent="0.25">
      <c r="A161" s="64"/>
      <c r="B161" s="4" t="s">
        <v>101</v>
      </c>
      <c r="C161" s="73"/>
      <c r="D161" s="44"/>
    </row>
    <row r="162" spans="1:7" x14ac:dyDescent="0.25">
      <c r="A162" s="64"/>
      <c r="B162" s="4" t="s">
        <v>102</v>
      </c>
      <c r="C162" s="73" t="s">
        <v>107</v>
      </c>
      <c r="D162" s="44" t="s">
        <v>106</v>
      </c>
    </row>
    <row r="163" spans="1:7" x14ac:dyDescent="0.25">
      <c r="A163" s="64"/>
      <c r="B163" s="4"/>
      <c r="C163" s="73"/>
      <c r="D163" s="44"/>
    </row>
    <row r="164" spans="1:7" ht="15.75" x14ac:dyDescent="0.25">
      <c r="A164" s="64"/>
      <c r="B164" s="152" t="s">
        <v>303</v>
      </c>
      <c r="C164" s="154">
        <v>0.04</v>
      </c>
      <c r="D164" s="154">
        <v>0.06</v>
      </c>
      <c r="E164" s="157" t="s">
        <v>111</v>
      </c>
    </row>
    <row r="165" spans="1:7" ht="15.75" x14ac:dyDescent="0.25">
      <c r="A165" s="64"/>
      <c r="B165" s="64" t="s">
        <v>125</v>
      </c>
      <c r="C165" s="65">
        <f>+C164*C160</f>
        <v>3600000</v>
      </c>
      <c r="D165" s="65">
        <f>+D164*D160</f>
        <v>600000</v>
      </c>
      <c r="E165" s="158">
        <f>+D165+C165</f>
        <v>4200000</v>
      </c>
    </row>
    <row r="166" spans="1:7" x14ac:dyDescent="0.25">
      <c r="A166" s="195"/>
      <c r="B166" s="47"/>
    </row>
    <row r="169" spans="1:7" ht="18.75" x14ac:dyDescent="0.3">
      <c r="A169" s="183"/>
      <c r="B169" s="184" t="s">
        <v>203</v>
      </c>
      <c r="C169" s="183"/>
      <c r="D169" s="183"/>
    </row>
    <row r="170" spans="1:7" x14ac:dyDescent="0.25">
      <c r="A170" s="183"/>
    </row>
    <row r="171" spans="1:7" x14ac:dyDescent="0.25">
      <c r="A171" s="183"/>
      <c r="C171" s="216" t="s">
        <v>123</v>
      </c>
      <c r="D171" s="216"/>
      <c r="E171" s="216"/>
      <c r="F171" s="216"/>
      <c r="G171" s="216"/>
    </row>
    <row r="172" spans="1:7" ht="15.75" x14ac:dyDescent="0.25">
      <c r="A172" s="183"/>
      <c r="B172" s="51" t="s">
        <v>67</v>
      </c>
      <c r="C172" s="51">
        <v>2</v>
      </c>
      <c r="D172" s="51" t="s">
        <v>120</v>
      </c>
      <c r="E172" s="51">
        <v>17</v>
      </c>
      <c r="F172" s="51" t="s">
        <v>75</v>
      </c>
      <c r="G172" s="197">
        <v>24</v>
      </c>
    </row>
    <row r="173" spans="1:7" x14ac:dyDescent="0.25">
      <c r="A173" s="183"/>
      <c r="C173" s="44"/>
      <c r="G173" s="194"/>
    </row>
    <row r="174" spans="1:7" x14ac:dyDescent="0.25">
      <c r="A174" s="183"/>
      <c r="B174" t="s">
        <v>68</v>
      </c>
      <c r="C174" s="44" t="s">
        <v>70</v>
      </c>
      <c r="D174" s="44" t="s">
        <v>70</v>
      </c>
      <c r="E174" s="44" t="s">
        <v>70</v>
      </c>
      <c r="F174" s="44" t="s">
        <v>70</v>
      </c>
      <c r="G174" s="194" t="s">
        <v>321</v>
      </c>
    </row>
    <row r="175" spans="1:7" ht="30" x14ac:dyDescent="0.25">
      <c r="A175" s="183"/>
      <c r="B175" t="s">
        <v>71</v>
      </c>
      <c r="C175" s="46" t="s">
        <v>79</v>
      </c>
      <c r="D175" s="47" t="s">
        <v>121</v>
      </c>
      <c r="E175" s="46" t="s">
        <v>77</v>
      </c>
      <c r="F175" s="47" t="s">
        <v>76</v>
      </c>
      <c r="G175" s="195" t="s">
        <v>322</v>
      </c>
    </row>
    <row r="176" spans="1:7" x14ac:dyDescent="0.25">
      <c r="A176" s="183"/>
      <c r="B176" t="s">
        <v>89</v>
      </c>
      <c r="G176" s="195"/>
    </row>
    <row r="177" spans="1:8" x14ac:dyDescent="0.25">
      <c r="A177" s="183"/>
      <c r="B177" t="s">
        <v>72</v>
      </c>
      <c r="G177" s="198">
        <v>113180</v>
      </c>
    </row>
    <row r="178" spans="1:8" x14ac:dyDescent="0.25">
      <c r="A178" s="183"/>
      <c r="B178" t="s">
        <v>73</v>
      </c>
      <c r="C178">
        <v>2.2000000000000002</v>
      </c>
      <c r="D178">
        <v>3.34</v>
      </c>
      <c r="E178" s="66">
        <v>0.45</v>
      </c>
      <c r="F178" s="66">
        <v>2.25</v>
      </c>
      <c r="G178" s="199">
        <v>2.6</v>
      </c>
      <c r="H178" s="66" t="s">
        <v>313</v>
      </c>
    </row>
    <row r="179" spans="1:8" x14ac:dyDescent="0.25">
      <c r="A179" s="183"/>
      <c r="G179" s="194"/>
    </row>
    <row r="180" spans="1:8" x14ac:dyDescent="0.25">
      <c r="A180" s="183"/>
      <c r="B180" s="52" t="s">
        <v>99</v>
      </c>
      <c r="C180" s="10"/>
      <c r="D180" s="10"/>
      <c r="E180" s="10"/>
      <c r="G180" s="194"/>
    </row>
    <row r="181" spans="1:8" x14ac:dyDescent="0.25">
      <c r="A181" s="183"/>
      <c r="B181" t="s">
        <v>97</v>
      </c>
      <c r="C181" s="10">
        <v>34000000</v>
      </c>
      <c r="D181" s="10">
        <v>18500000</v>
      </c>
      <c r="E181" s="10"/>
      <c r="F181" s="10">
        <f>18500000</f>
        <v>18500000</v>
      </c>
      <c r="G181" s="196">
        <v>29000000</v>
      </c>
    </row>
    <row r="182" spans="1:8" x14ac:dyDescent="0.25">
      <c r="A182" s="183"/>
      <c r="B182" t="s">
        <v>98</v>
      </c>
      <c r="C182" s="10">
        <v>165000000</v>
      </c>
      <c r="D182" s="10">
        <v>95000000</v>
      </c>
      <c r="E182" s="10">
        <v>8000000</v>
      </c>
      <c r="F182" s="10">
        <v>42000000</v>
      </c>
      <c r="G182" s="196">
        <v>85000000</v>
      </c>
    </row>
    <row r="183" spans="1:8" x14ac:dyDescent="0.25">
      <c r="A183" s="183"/>
      <c r="B183" t="s">
        <v>59</v>
      </c>
      <c r="C183" s="10">
        <f>+C182+C181</f>
        <v>199000000</v>
      </c>
      <c r="D183" s="10">
        <f>+D182+D181</f>
        <v>113500000</v>
      </c>
      <c r="E183" s="10">
        <f>+E182+E181</f>
        <v>8000000</v>
      </c>
      <c r="F183" s="10">
        <f>+F182+F181</f>
        <v>60500000</v>
      </c>
      <c r="G183" s="193">
        <f>+G182+G181</f>
        <v>114000000</v>
      </c>
    </row>
    <row r="184" spans="1:8" ht="18.75" x14ac:dyDescent="0.3">
      <c r="A184" s="183"/>
      <c r="B184" s="152" t="s">
        <v>303</v>
      </c>
      <c r="C184" s="3">
        <v>0.06</v>
      </c>
      <c r="D184" s="3">
        <v>0.04</v>
      </c>
      <c r="E184" s="3">
        <v>0.04</v>
      </c>
      <c r="F184" s="3">
        <v>0.04</v>
      </c>
      <c r="G184" s="200">
        <v>0.06</v>
      </c>
      <c r="H184" s="186" t="s">
        <v>111</v>
      </c>
    </row>
    <row r="185" spans="1:8" ht="18.75" x14ac:dyDescent="0.3">
      <c r="A185" s="183"/>
      <c r="B185" s="44" t="s">
        <v>125</v>
      </c>
      <c r="C185" s="104">
        <f>+C182*C184</f>
        <v>9900000</v>
      </c>
      <c r="D185" s="104">
        <f>+D182*D184</f>
        <v>3800000</v>
      </c>
      <c r="E185" s="104">
        <f>+E182*E184</f>
        <v>320000</v>
      </c>
      <c r="F185" s="104">
        <f>+F182*F184</f>
        <v>1680000</v>
      </c>
      <c r="G185" s="207">
        <f>+G182*G184</f>
        <v>5100000</v>
      </c>
      <c r="H185" s="96">
        <f>SUM(C185:G185)</f>
        <v>20800000</v>
      </c>
    </row>
    <row r="186" spans="1:8" ht="30" x14ac:dyDescent="0.25">
      <c r="A186" s="183"/>
      <c r="B186" s="47" t="s">
        <v>87</v>
      </c>
      <c r="C186" s="68"/>
      <c r="D186" s="68"/>
      <c r="E186" s="68"/>
      <c r="F186" s="68"/>
      <c r="G186" s="68"/>
    </row>
    <row r="187" spans="1:8" x14ac:dyDescent="0.25">
      <c r="A187" s="183"/>
    </row>
    <row r="188" spans="1:8" x14ac:dyDescent="0.25">
      <c r="D188" s="46"/>
    </row>
    <row r="190" spans="1:8" x14ac:dyDescent="0.25">
      <c r="B190" s="185" t="s">
        <v>122</v>
      </c>
      <c r="C190" s="185"/>
      <c r="D190" s="169"/>
      <c r="E190" s="169"/>
      <c r="F190" s="169"/>
    </row>
    <row r="191" spans="1:8" x14ac:dyDescent="0.25">
      <c r="B191" s="55"/>
      <c r="C191" s="55"/>
      <c r="D191" s="55"/>
      <c r="E191" s="55"/>
      <c r="F191" s="55"/>
    </row>
    <row r="192" spans="1:8" x14ac:dyDescent="0.25">
      <c r="B192" s="55"/>
      <c r="C192" s="55"/>
      <c r="D192" s="55"/>
      <c r="E192" s="55"/>
      <c r="F192" s="55"/>
    </row>
    <row r="193" spans="2:6" ht="15.75" x14ac:dyDescent="0.25">
      <c r="B193" s="56" t="s">
        <v>67</v>
      </c>
      <c r="C193" s="56">
        <v>3</v>
      </c>
      <c r="D193" s="56">
        <v>18</v>
      </c>
      <c r="E193" s="56">
        <v>21</v>
      </c>
      <c r="F193" s="56">
        <v>22</v>
      </c>
    </row>
    <row r="194" spans="2:6" x14ac:dyDescent="0.25">
      <c r="B194" s="55"/>
      <c r="C194" s="55"/>
      <c r="D194" s="55"/>
      <c r="E194" s="55"/>
      <c r="F194" s="55"/>
    </row>
    <row r="195" spans="2:6" x14ac:dyDescent="0.25">
      <c r="B195" s="55"/>
      <c r="C195" s="55" t="s">
        <v>70</v>
      </c>
      <c r="D195" s="55" t="s">
        <v>70</v>
      </c>
      <c r="E195" s="55" t="s">
        <v>70</v>
      </c>
      <c r="F195" s="55" t="s">
        <v>70</v>
      </c>
    </row>
    <row r="196" spans="2:6" x14ac:dyDescent="0.25">
      <c r="B196" s="54" t="s">
        <v>71</v>
      </c>
      <c r="C196" s="54" t="s">
        <v>78</v>
      </c>
      <c r="D196" s="54" t="s">
        <v>119</v>
      </c>
      <c r="E196" s="54" t="s">
        <v>119</v>
      </c>
      <c r="F196" s="54" t="s">
        <v>119</v>
      </c>
    </row>
    <row r="197" spans="2:6" x14ac:dyDescent="0.25">
      <c r="B197" s="54"/>
      <c r="C197" s="54" t="s">
        <v>314</v>
      </c>
      <c r="D197" s="54" t="s">
        <v>314</v>
      </c>
      <c r="E197" s="54" t="s">
        <v>314</v>
      </c>
      <c r="F197" s="54" t="s">
        <v>314</v>
      </c>
    </row>
  </sheetData>
  <mergeCells count="10">
    <mergeCell ref="B96:B97"/>
    <mergeCell ref="C171:G171"/>
    <mergeCell ref="L55:M57"/>
    <mergeCell ref="C6:G6"/>
    <mergeCell ref="J55:J57"/>
    <mergeCell ref="H6:J6"/>
    <mergeCell ref="D96:D97"/>
    <mergeCell ref="C96:C97"/>
    <mergeCell ref="E96:E97"/>
    <mergeCell ref="F96:F97"/>
  </mergeCells>
  <pageMargins left="0.5" right="0.5" top="0.75" bottom="0.75" header="0.3" footer="0.3"/>
  <pageSetup scale="41" fitToHeight="0" orientation="portrait" r:id="rId1"/>
  <headerFooter>
    <oddFooter>&amp;LPage &amp;P of &amp;N&amp;R&amp;F -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0"/>
  <sheetViews>
    <sheetView workbookViewId="0"/>
  </sheetViews>
  <sheetFormatPr defaultRowHeight="15" x14ac:dyDescent="0.25"/>
  <cols>
    <col min="3" max="3" width="12.42578125" customWidth="1"/>
    <col min="4" max="4" width="13.7109375" customWidth="1"/>
    <col min="5" max="5" width="14.85546875" customWidth="1"/>
    <col min="6" max="6" width="10.5703125" customWidth="1"/>
    <col min="8" max="8" width="11" customWidth="1"/>
    <col min="9" max="9" width="11.28515625" customWidth="1"/>
    <col min="10" max="10" width="11.140625" customWidth="1"/>
    <col min="16" max="16" width="10.5703125" customWidth="1"/>
    <col min="17" max="18" width="14.5703125" customWidth="1"/>
    <col min="19" max="19" width="13.28515625" bestFit="1" customWidth="1"/>
    <col min="20" max="20" width="11.85546875" customWidth="1"/>
    <col min="21" max="21" width="12.28515625" customWidth="1"/>
  </cols>
  <sheetData>
    <row r="1" spans="1:10" ht="18.75" x14ac:dyDescent="0.3">
      <c r="A1" s="2" t="s">
        <v>180</v>
      </c>
      <c r="F1" s="125"/>
    </row>
    <row r="4" spans="1:10" x14ac:dyDescent="0.25">
      <c r="A4" t="s">
        <v>181</v>
      </c>
    </row>
    <row r="6" spans="1:10" x14ac:dyDescent="0.25">
      <c r="H6" s="214" t="s">
        <v>19</v>
      </c>
      <c r="I6" s="214"/>
      <c r="J6" s="214"/>
    </row>
    <row r="7" spans="1:10" ht="60" x14ac:dyDescent="0.25">
      <c r="A7" s="6" t="s">
        <v>13</v>
      </c>
      <c r="B7" s="7" t="s">
        <v>12</v>
      </c>
      <c r="C7" s="7" t="s">
        <v>156</v>
      </c>
      <c r="D7" s="7" t="s">
        <v>157</v>
      </c>
      <c r="E7" s="7" t="s">
        <v>173</v>
      </c>
      <c r="F7" s="7" t="s">
        <v>174</v>
      </c>
      <c r="G7" s="7" t="s">
        <v>175</v>
      </c>
      <c r="H7" s="7" t="s">
        <v>114</v>
      </c>
      <c r="I7" s="7" t="s">
        <v>21</v>
      </c>
      <c r="J7" s="7" t="s">
        <v>20</v>
      </c>
    </row>
    <row r="8" spans="1:10" x14ac:dyDescent="0.25">
      <c r="A8">
        <v>2018</v>
      </c>
      <c r="C8" s="5"/>
      <c r="D8" s="5"/>
      <c r="E8" s="5"/>
      <c r="F8" s="45"/>
      <c r="G8" s="5"/>
      <c r="H8" s="5">
        <f t="shared" ref="H8" si="0">+G8*F8</f>
        <v>0</v>
      </c>
      <c r="I8" s="5">
        <f>H8/(1.07^(A8-2018))</f>
        <v>0</v>
      </c>
      <c r="J8" s="5">
        <f>H8/(1.03^(A8-2018))</f>
        <v>0</v>
      </c>
    </row>
    <row r="9" spans="1:10" x14ac:dyDescent="0.25">
      <c r="A9">
        <f>+A8+1</f>
        <v>2019</v>
      </c>
      <c r="C9" s="45"/>
      <c r="D9" s="45"/>
      <c r="E9" s="5"/>
      <c r="F9" s="45"/>
      <c r="G9" s="5"/>
      <c r="H9" s="5">
        <f t="shared" ref="H9:H38" si="1">+G9*F9</f>
        <v>0</v>
      </c>
      <c r="I9" s="5">
        <f t="shared" ref="I9:I38" si="2">H9/(1.07^(A9-2018))</f>
        <v>0</v>
      </c>
      <c r="J9" s="5">
        <f t="shared" ref="J9:J38" si="3">H9/(1.03^(A9-2018))</f>
        <v>0</v>
      </c>
    </row>
    <row r="10" spans="1:10" x14ac:dyDescent="0.25">
      <c r="A10">
        <f t="shared" ref="A10:B25" si="4">+A9+1</f>
        <v>2020</v>
      </c>
      <c r="C10" s="45"/>
      <c r="D10" s="45"/>
      <c r="E10" s="45">
        <f>+E11/2</f>
        <v>9000</v>
      </c>
      <c r="F10" s="45">
        <f>+E10+D10+C10</f>
        <v>9000</v>
      </c>
      <c r="G10" s="57">
        <v>0.5</v>
      </c>
      <c r="H10" s="5">
        <f t="shared" si="1"/>
        <v>4500</v>
      </c>
      <c r="I10" s="5">
        <f t="shared" si="2"/>
        <v>3930.4742772294521</v>
      </c>
      <c r="J10" s="5">
        <f t="shared" si="3"/>
        <v>4241.6815911018948</v>
      </c>
    </row>
    <row r="11" spans="1:10" x14ac:dyDescent="0.25">
      <c r="A11">
        <f t="shared" si="4"/>
        <v>2021</v>
      </c>
      <c r="B11">
        <f>+B10+1</f>
        <v>1</v>
      </c>
      <c r="C11" s="45">
        <f>+C12/2</f>
        <v>21700</v>
      </c>
      <c r="D11" s="45">
        <f>+D12/2</f>
        <v>13200</v>
      </c>
      <c r="E11" s="138">
        <f>+E106</f>
        <v>18000</v>
      </c>
      <c r="F11" s="45">
        <f t="shared" ref="F11:F38" si="5">+E11+D11+C11</f>
        <v>52900</v>
      </c>
      <c r="G11" s="57">
        <v>0.5</v>
      </c>
      <c r="H11" s="5">
        <f t="shared" si="1"/>
        <v>26450</v>
      </c>
      <c r="I11" s="5">
        <f t="shared" si="2"/>
        <v>21591.078843763033</v>
      </c>
      <c r="J11" s="5">
        <f t="shared" si="3"/>
        <v>24205.49688989107</v>
      </c>
    </row>
    <row r="12" spans="1:10" x14ac:dyDescent="0.25">
      <c r="A12">
        <f t="shared" si="4"/>
        <v>2022</v>
      </c>
      <c r="B12">
        <f>+B11+1</f>
        <v>2</v>
      </c>
      <c r="C12" s="63">
        <f>+E99</f>
        <v>43400</v>
      </c>
      <c r="D12" s="80">
        <f>+E84+E92</f>
        <v>26400</v>
      </c>
      <c r="E12" s="45">
        <f t="shared" ref="E12:E13" si="6">+E11</f>
        <v>18000</v>
      </c>
      <c r="F12" s="45">
        <f t="shared" si="5"/>
        <v>87800</v>
      </c>
      <c r="G12" s="57">
        <v>0.5</v>
      </c>
      <c r="H12" s="5">
        <f t="shared" si="1"/>
        <v>43900</v>
      </c>
      <c r="I12" s="5">
        <f t="shared" si="2"/>
        <v>33491.099808886356</v>
      </c>
      <c r="J12" s="5">
        <f t="shared" si="3"/>
        <v>39004.581403498749</v>
      </c>
    </row>
    <row r="13" spans="1:10" x14ac:dyDescent="0.25">
      <c r="A13">
        <f t="shared" si="4"/>
        <v>2023</v>
      </c>
      <c r="B13">
        <f>+B12+1</f>
        <v>3</v>
      </c>
      <c r="C13" s="45">
        <f>+C12</f>
        <v>43400</v>
      </c>
      <c r="D13" s="45">
        <f>+D12</f>
        <v>26400</v>
      </c>
      <c r="E13" s="45">
        <f t="shared" si="6"/>
        <v>18000</v>
      </c>
      <c r="F13" s="45">
        <f t="shared" si="5"/>
        <v>87800</v>
      </c>
      <c r="G13" s="57">
        <v>0.5</v>
      </c>
      <c r="H13" s="5">
        <f t="shared" si="1"/>
        <v>43900</v>
      </c>
      <c r="I13" s="5">
        <f t="shared" si="2"/>
        <v>31300.093279333039</v>
      </c>
      <c r="J13" s="5">
        <f t="shared" si="3"/>
        <v>37868.525634464801</v>
      </c>
    </row>
    <row r="14" spans="1:10" x14ac:dyDescent="0.25">
      <c r="A14">
        <f t="shared" si="4"/>
        <v>2024</v>
      </c>
      <c r="B14">
        <f t="shared" si="4"/>
        <v>4</v>
      </c>
      <c r="C14" s="45">
        <f>+C13</f>
        <v>43400</v>
      </c>
      <c r="D14" s="45">
        <f>+D13</f>
        <v>26400</v>
      </c>
      <c r="E14" s="45">
        <f>+E13</f>
        <v>18000</v>
      </c>
      <c r="F14" s="45">
        <f t="shared" si="5"/>
        <v>87800</v>
      </c>
      <c r="G14" s="57">
        <v>0.5</v>
      </c>
      <c r="H14" s="5">
        <f t="shared" si="1"/>
        <v>43900</v>
      </c>
      <c r="I14" s="5">
        <f t="shared" si="2"/>
        <v>29252.4236255449</v>
      </c>
      <c r="J14" s="5">
        <f t="shared" si="3"/>
        <v>36765.55886841243</v>
      </c>
    </row>
    <row r="15" spans="1:10" x14ac:dyDescent="0.25">
      <c r="A15">
        <f t="shared" si="4"/>
        <v>2025</v>
      </c>
      <c r="B15">
        <f t="shared" si="4"/>
        <v>5</v>
      </c>
      <c r="C15" s="45">
        <f t="shared" ref="C15:E38" si="7">+C14</f>
        <v>43400</v>
      </c>
      <c r="D15" s="45">
        <f t="shared" si="7"/>
        <v>26400</v>
      </c>
      <c r="E15" s="45">
        <f t="shared" si="7"/>
        <v>18000</v>
      </c>
      <c r="F15" s="45">
        <f t="shared" si="5"/>
        <v>87800</v>
      </c>
      <c r="G15" s="57">
        <v>0.5</v>
      </c>
      <c r="H15" s="5">
        <f t="shared" si="1"/>
        <v>43900</v>
      </c>
      <c r="I15" s="5">
        <f t="shared" si="2"/>
        <v>27338.713668733551</v>
      </c>
      <c r="J15" s="5">
        <f t="shared" si="3"/>
        <v>35694.71734797323</v>
      </c>
    </row>
    <row r="16" spans="1:10" x14ac:dyDescent="0.25">
      <c r="A16">
        <f t="shared" si="4"/>
        <v>2026</v>
      </c>
      <c r="B16">
        <f t="shared" si="4"/>
        <v>6</v>
      </c>
      <c r="C16" s="45">
        <f t="shared" si="7"/>
        <v>43400</v>
      </c>
      <c r="D16" s="45">
        <f t="shared" si="7"/>
        <v>26400</v>
      </c>
      <c r="E16" s="45">
        <f t="shared" si="7"/>
        <v>18000</v>
      </c>
      <c r="F16" s="45">
        <f t="shared" si="5"/>
        <v>87800</v>
      </c>
      <c r="G16" s="57">
        <v>0.5</v>
      </c>
      <c r="H16" s="5">
        <f t="shared" si="1"/>
        <v>43900</v>
      </c>
      <c r="I16" s="5">
        <f t="shared" si="2"/>
        <v>25550.199690405188</v>
      </c>
      <c r="J16" s="5">
        <f t="shared" si="3"/>
        <v>34655.065386381779</v>
      </c>
    </row>
    <row r="17" spans="1:10" x14ac:dyDescent="0.25">
      <c r="A17">
        <f t="shared" si="4"/>
        <v>2027</v>
      </c>
      <c r="B17">
        <f t="shared" si="4"/>
        <v>7</v>
      </c>
      <c r="C17" s="45">
        <f t="shared" si="7"/>
        <v>43400</v>
      </c>
      <c r="D17" s="45">
        <f t="shared" si="7"/>
        <v>26400</v>
      </c>
      <c r="E17" s="45">
        <f t="shared" si="7"/>
        <v>18000</v>
      </c>
      <c r="F17" s="45">
        <f t="shared" si="5"/>
        <v>87800</v>
      </c>
      <c r="G17" s="57">
        <v>0.5</v>
      </c>
      <c r="H17" s="5">
        <f t="shared" si="1"/>
        <v>43900</v>
      </c>
      <c r="I17" s="5">
        <f t="shared" si="2"/>
        <v>23878.691299444097</v>
      </c>
      <c r="J17" s="5">
        <f t="shared" si="3"/>
        <v>33645.694549885222</v>
      </c>
    </row>
    <row r="18" spans="1:10" x14ac:dyDescent="0.25">
      <c r="A18">
        <f t="shared" si="4"/>
        <v>2028</v>
      </c>
      <c r="B18">
        <f t="shared" si="4"/>
        <v>8</v>
      </c>
      <c r="C18" s="45">
        <f t="shared" si="7"/>
        <v>43400</v>
      </c>
      <c r="D18" s="45">
        <f t="shared" si="7"/>
        <v>26400</v>
      </c>
      <c r="E18" s="45">
        <f t="shared" si="7"/>
        <v>18000</v>
      </c>
      <c r="F18" s="45">
        <f t="shared" si="5"/>
        <v>87800</v>
      </c>
      <c r="G18" s="57">
        <v>0.5</v>
      </c>
      <c r="H18" s="5">
        <f t="shared" si="1"/>
        <v>43900</v>
      </c>
      <c r="I18" s="5">
        <f t="shared" si="2"/>
        <v>22316.533924714113</v>
      </c>
      <c r="J18" s="5">
        <f t="shared" si="3"/>
        <v>32665.722863966235</v>
      </c>
    </row>
    <row r="19" spans="1:10" x14ac:dyDescent="0.25">
      <c r="A19">
        <f t="shared" si="4"/>
        <v>2029</v>
      </c>
      <c r="B19">
        <f t="shared" si="4"/>
        <v>9</v>
      </c>
      <c r="C19" s="45">
        <f t="shared" si="7"/>
        <v>43400</v>
      </c>
      <c r="D19" s="45">
        <f t="shared" si="7"/>
        <v>26400</v>
      </c>
      <c r="E19" s="45">
        <f t="shared" si="7"/>
        <v>18000</v>
      </c>
      <c r="F19" s="45">
        <f t="shared" si="5"/>
        <v>87800</v>
      </c>
      <c r="G19" s="57">
        <v>0.5</v>
      </c>
      <c r="H19" s="5">
        <f t="shared" si="1"/>
        <v>43900</v>
      </c>
      <c r="I19" s="5">
        <f t="shared" si="2"/>
        <v>20856.573761415053</v>
      </c>
      <c r="J19" s="5">
        <f t="shared" si="3"/>
        <v>31714.294042685666</v>
      </c>
    </row>
    <row r="20" spans="1:10" x14ac:dyDescent="0.25">
      <c r="A20">
        <f t="shared" si="4"/>
        <v>2030</v>
      </c>
      <c r="B20">
        <f t="shared" si="4"/>
        <v>10</v>
      </c>
      <c r="C20" s="45">
        <f t="shared" si="7"/>
        <v>43400</v>
      </c>
      <c r="D20" s="45">
        <f t="shared" si="7"/>
        <v>26400</v>
      </c>
      <c r="E20" s="45">
        <f t="shared" si="7"/>
        <v>18000</v>
      </c>
      <c r="F20" s="45">
        <f t="shared" si="5"/>
        <v>87800</v>
      </c>
      <c r="G20" s="57">
        <v>0.5</v>
      </c>
      <c r="H20" s="5">
        <f t="shared" si="1"/>
        <v>43900</v>
      </c>
      <c r="I20" s="5">
        <f t="shared" si="2"/>
        <v>19492.125010668278</v>
      </c>
      <c r="J20" s="5">
        <f t="shared" si="3"/>
        <v>30790.576740471522</v>
      </c>
    </row>
    <row r="21" spans="1:10" x14ac:dyDescent="0.25">
      <c r="A21">
        <f t="shared" si="4"/>
        <v>2031</v>
      </c>
      <c r="B21">
        <f t="shared" si="4"/>
        <v>11</v>
      </c>
      <c r="C21" s="45">
        <f t="shared" si="7"/>
        <v>43400</v>
      </c>
      <c r="D21" s="45">
        <f t="shared" si="7"/>
        <v>26400</v>
      </c>
      <c r="E21" s="45">
        <f t="shared" si="7"/>
        <v>18000</v>
      </c>
      <c r="F21" s="45">
        <f t="shared" si="5"/>
        <v>87800</v>
      </c>
      <c r="G21" s="57">
        <v>0.5</v>
      </c>
      <c r="H21" s="5">
        <f t="shared" si="1"/>
        <v>43900</v>
      </c>
      <c r="I21" s="5">
        <f t="shared" si="2"/>
        <v>18216.939262306802</v>
      </c>
      <c r="J21" s="5">
        <f t="shared" si="3"/>
        <v>29893.763825700509</v>
      </c>
    </row>
    <row r="22" spans="1:10" x14ac:dyDescent="0.25">
      <c r="A22">
        <f t="shared" si="4"/>
        <v>2032</v>
      </c>
      <c r="B22">
        <f t="shared" si="4"/>
        <v>12</v>
      </c>
      <c r="C22" s="45">
        <f t="shared" si="7"/>
        <v>43400</v>
      </c>
      <c r="D22" s="45">
        <f t="shared" si="7"/>
        <v>26400</v>
      </c>
      <c r="E22" s="45">
        <f t="shared" si="7"/>
        <v>18000</v>
      </c>
      <c r="F22" s="45">
        <f t="shared" si="5"/>
        <v>87800</v>
      </c>
      <c r="G22" s="57">
        <v>0.5</v>
      </c>
      <c r="H22" s="5">
        <f t="shared" si="1"/>
        <v>43900</v>
      </c>
      <c r="I22" s="5">
        <f t="shared" si="2"/>
        <v>17025.176880660561</v>
      </c>
      <c r="J22" s="5">
        <f t="shared" si="3"/>
        <v>29023.071675437386</v>
      </c>
    </row>
    <row r="23" spans="1:10" x14ac:dyDescent="0.25">
      <c r="A23">
        <f t="shared" si="4"/>
        <v>2033</v>
      </c>
      <c r="B23">
        <f t="shared" si="4"/>
        <v>13</v>
      </c>
      <c r="C23" s="45">
        <f t="shared" si="7"/>
        <v>43400</v>
      </c>
      <c r="D23" s="45">
        <f t="shared" si="7"/>
        <v>26400</v>
      </c>
      <c r="E23" s="45">
        <f t="shared" si="7"/>
        <v>18000</v>
      </c>
      <c r="F23" s="45">
        <f t="shared" si="5"/>
        <v>87800</v>
      </c>
      <c r="G23" s="57">
        <v>0.5</v>
      </c>
      <c r="H23" s="5">
        <f t="shared" si="1"/>
        <v>43900</v>
      </c>
      <c r="I23" s="5">
        <f t="shared" si="2"/>
        <v>15911.38026229959</v>
      </c>
      <c r="J23" s="5">
        <f t="shared" si="3"/>
        <v>28177.739490715907</v>
      </c>
    </row>
    <row r="24" spans="1:10" x14ac:dyDescent="0.25">
      <c r="A24">
        <f t="shared" si="4"/>
        <v>2034</v>
      </c>
      <c r="B24">
        <f t="shared" si="4"/>
        <v>14</v>
      </c>
      <c r="C24" s="45">
        <f t="shared" si="7"/>
        <v>43400</v>
      </c>
      <c r="D24" s="45">
        <f t="shared" si="7"/>
        <v>26400</v>
      </c>
      <c r="E24" s="45">
        <f t="shared" si="7"/>
        <v>18000</v>
      </c>
      <c r="F24" s="45">
        <f t="shared" si="5"/>
        <v>87800</v>
      </c>
      <c r="G24" s="57">
        <v>0.5</v>
      </c>
      <c r="H24" s="5">
        <f t="shared" si="1"/>
        <v>43900</v>
      </c>
      <c r="I24" s="5">
        <f t="shared" si="2"/>
        <v>14870.448843270646</v>
      </c>
      <c r="J24" s="5">
        <f t="shared" si="3"/>
        <v>27357.02863176302</v>
      </c>
    </row>
    <row r="25" spans="1:10" x14ac:dyDescent="0.25">
      <c r="A25">
        <f t="shared" si="4"/>
        <v>2035</v>
      </c>
      <c r="B25">
        <f t="shared" si="4"/>
        <v>15</v>
      </c>
      <c r="C25" s="45">
        <f t="shared" si="7"/>
        <v>43400</v>
      </c>
      <c r="D25" s="45">
        <f t="shared" si="7"/>
        <v>26400</v>
      </c>
      <c r="E25" s="45">
        <f t="shared" si="7"/>
        <v>18000</v>
      </c>
      <c r="F25" s="45">
        <f t="shared" si="5"/>
        <v>87800</v>
      </c>
      <c r="G25" s="57">
        <v>0.5</v>
      </c>
      <c r="H25" s="5">
        <f t="shared" si="1"/>
        <v>43900</v>
      </c>
      <c r="I25" s="5">
        <f t="shared" si="2"/>
        <v>13897.615741374437</v>
      </c>
      <c r="J25" s="5">
        <f t="shared" si="3"/>
        <v>26560.221972585456</v>
      </c>
    </row>
    <row r="26" spans="1:10" x14ac:dyDescent="0.25">
      <c r="A26">
        <f t="shared" ref="A26:B38" si="8">+A25+1</f>
        <v>2036</v>
      </c>
      <c r="B26">
        <f t="shared" si="8"/>
        <v>16</v>
      </c>
      <c r="C26" s="45">
        <f t="shared" si="7"/>
        <v>43400</v>
      </c>
      <c r="D26" s="45">
        <f t="shared" si="7"/>
        <v>26400</v>
      </c>
      <c r="E26" s="45">
        <f t="shared" si="7"/>
        <v>18000</v>
      </c>
      <c r="F26" s="45">
        <f t="shared" si="5"/>
        <v>87800</v>
      </c>
      <c r="G26" s="57">
        <v>0.5</v>
      </c>
      <c r="H26" s="5">
        <f t="shared" si="1"/>
        <v>43900</v>
      </c>
      <c r="I26" s="5">
        <f t="shared" si="2"/>
        <v>12988.425926518164</v>
      </c>
      <c r="J26" s="5">
        <f t="shared" si="3"/>
        <v>25786.623274354813</v>
      </c>
    </row>
    <row r="27" spans="1:10" x14ac:dyDescent="0.25">
      <c r="A27">
        <f t="shared" si="8"/>
        <v>2037</v>
      </c>
      <c r="B27">
        <f t="shared" si="8"/>
        <v>17</v>
      </c>
      <c r="C27" s="45">
        <f t="shared" si="7"/>
        <v>43400</v>
      </c>
      <c r="D27" s="45">
        <f t="shared" si="7"/>
        <v>26400</v>
      </c>
      <c r="E27" s="45">
        <f t="shared" si="7"/>
        <v>18000</v>
      </c>
      <c r="F27" s="45">
        <f t="shared" si="5"/>
        <v>87800</v>
      </c>
      <c r="G27" s="57">
        <v>0.5</v>
      </c>
      <c r="H27" s="5">
        <f t="shared" si="1"/>
        <v>43900</v>
      </c>
      <c r="I27" s="5">
        <f t="shared" si="2"/>
        <v>12138.715819175854</v>
      </c>
      <c r="J27" s="5">
        <f t="shared" si="3"/>
        <v>25035.556577043506</v>
      </c>
    </row>
    <row r="28" spans="1:10" x14ac:dyDescent="0.25">
      <c r="A28">
        <f t="shared" si="8"/>
        <v>2038</v>
      </c>
      <c r="B28">
        <f t="shared" si="8"/>
        <v>18</v>
      </c>
      <c r="C28" s="45">
        <f t="shared" si="7"/>
        <v>43400</v>
      </c>
      <c r="D28" s="45">
        <f t="shared" si="7"/>
        <v>26400</v>
      </c>
      <c r="E28" s="45">
        <f t="shared" si="7"/>
        <v>18000</v>
      </c>
      <c r="F28" s="45">
        <f t="shared" si="5"/>
        <v>87800</v>
      </c>
      <c r="G28" s="57">
        <v>0.5</v>
      </c>
      <c r="H28" s="5">
        <f t="shared" si="1"/>
        <v>43900</v>
      </c>
      <c r="I28" s="5">
        <f t="shared" si="2"/>
        <v>11344.594223528837</v>
      </c>
      <c r="J28" s="5">
        <f t="shared" si="3"/>
        <v>24306.365608780106</v>
      </c>
    </row>
    <row r="29" spans="1:10" x14ac:dyDescent="0.25">
      <c r="A29">
        <f t="shared" si="8"/>
        <v>2039</v>
      </c>
      <c r="B29">
        <f t="shared" si="8"/>
        <v>19</v>
      </c>
      <c r="C29" s="45">
        <f t="shared" si="7"/>
        <v>43400</v>
      </c>
      <c r="D29" s="45">
        <f t="shared" si="7"/>
        <v>26400</v>
      </c>
      <c r="E29" s="45">
        <f t="shared" si="7"/>
        <v>18000</v>
      </c>
      <c r="F29" s="45">
        <f t="shared" si="5"/>
        <v>87800</v>
      </c>
      <c r="G29" s="57">
        <v>0.5</v>
      </c>
      <c r="H29" s="5">
        <f t="shared" si="1"/>
        <v>43900</v>
      </c>
      <c r="I29" s="5">
        <f t="shared" si="2"/>
        <v>10602.424507970874</v>
      </c>
      <c r="J29" s="5">
        <f t="shared" si="3"/>
        <v>23598.413212407871</v>
      </c>
    </row>
    <row r="30" spans="1:10" x14ac:dyDescent="0.25">
      <c r="A30">
        <f t="shared" si="8"/>
        <v>2040</v>
      </c>
      <c r="B30">
        <f t="shared" si="8"/>
        <v>20</v>
      </c>
      <c r="C30" s="45">
        <f t="shared" si="7"/>
        <v>43400</v>
      </c>
      <c r="D30" s="45">
        <f t="shared" si="7"/>
        <v>26400</v>
      </c>
      <c r="E30" s="45">
        <f t="shared" si="7"/>
        <v>18000</v>
      </c>
      <c r="F30" s="45">
        <f t="shared" si="5"/>
        <v>87800</v>
      </c>
      <c r="G30" s="57">
        <v>0.5</v>
      </c>
      <c r="H30" s="5">
        <f t="shared" si="1"/>
        <v>43900</v>
      </c>
      <c r="I30" s="5">
        <f t="shared" si="2"/>
        <v>9908.8079513746488</v>
      </c>
      <c r="J30" s="5">
        <f t="shared" si="3"/>
        <v>22911.080788745505</v>
      </c>
    </row>
    <row r="31" spans="1:10" x14ac:dyDescent="0.25">
      <c r="A31">
        <f t="shared" si="8"/>
        <v>2041</v>
      </c>
      <c r="B31">
        <f t="shared" si="8"/>
        <v>21</v>
      </c>
      <c r="C31" s="45">
        <f t="shared" si="7"/>
        <v>43400</v>
      </c>
      <c r="D31" s="45">
        <f t="shared" si="7"/>
        <v>26400</v>
      </c>
      <c r="E31" s="45">
        <f t="shared" si="7"/>
        <v>18000</v>
      </c>
      <c r="F31" s="45">
        <f t="shared" si="5"/>
        <v>87800</v>
      </c>
      <c r="G31" s="57">
        <v>0.5</v>
      </c>
      <c r="H31" s="5">
        <f t="shared" si="1"/>
        <v>43900</v>
      </c>
      <c r="I31" s="5">
        <f t="shared" si="2"/>
        <v>9260.5681788548118</v>
      </c>
      <c r="J31" s="5">
        <f t="shared" si="3"/>
        <v>22243.767756063597</v>
      </c>
    </row>
    <row r="32" spans="1:10" x14ac:dyDescent="0.25">
      <c r="A32">
        <f t="shared" si="8"/>
        <v>2042</v>
      </c>
      <c r="B32">
        <f t="shared" si="8"/>
        <v>22</v>
      </c>
      <c r="C32" s="45">
        <f t="shared" si="7"/>
        <v>43400</v>
      </c>
      <c r="D32" s="45">
        <f t="shared" si="7"/>
        <v>26400</v>
      </c>
      <c r="E32" s="45">
        <f t="shared" si="7"/>
        <v>18000</v>
      </c>
      <c r="F32" s="45">
        <f t="shared" si="5"/>
        <v>87800</v>
      </c>
      <c r="G32" s="57">
        <v>0.5</v>
      </c>
      <c r="H32" s="5">
        <f t="shared" si="1"/>
        <v>43900</v>
      </c>
      <c r="I32" s="5">
        <f t="shared" si="2"/>
        <v>8654.736615752161</v>
      </c>
      <c r="J32" s="5">
        <f t="shared" si="3"/>
        <v>21595.891025304463</v>
      </c>
    </row>
    <row r="33" spans="1:12" x14ac:dyDescent="0.25">
      <c r="A33">
        <f t="shared" si="8"/>
        <v>2043</v>
      </c>
      <c r="B33">
        <f t="shared" si="8"/>
        <v>23</v>
      </c>
      <c r="C33" s="45">
        <f t="shared" si="7"/>
        <v>43400</v>
      </c>
      <c r="D33" s="45">
        <f t="shared" si="7"/>
        <v>26400</v>
      </c>
      <c r="E33" s="45">
        <f t="shared" si="7"/>
        <v>18000</v>
      </c>
      <c r="F33" s="45">
        <f t="shared" si="5"/>
        <v>87800</v>
      </c>
      <c r="G33" s="57">
        <v>0.5</v>
      </c>
      <c r="H33" s="5">
        <f t="shared" si="1"/>
        <v>43900</v>
      </c>
      <c r="I33" s="5">
        <f t="shared" si="2"/>
        <v>8088.5388932263177</v>
      </c>
      <c r="J33" s="5">
        <f t="shared" si="3"/>
        <v>20966.884490586861</v>
      </c>
    </row>
    <row r="34" spans="1:12" x14ac:dyDescent="0.25">
      <c r="A34">
        <f t="shared" si="8"/>
        <v>2044</v>
      </c>
      <c r="B34">
        <f t="shared" si="8"/>
        <v>24</v>
      </c>
      <c r="C34" s="45">
        <f t="shared" si="7"/>
        <v>43400</v>
      </c>
      <c r="D34" s="45">
        <f t="shared" si="7"/>
        <v>26400</v>
      </c>
      <c r="E34" s="45">
        <f t="shared" si="7"/>
        <v>18000</v>
      </c>
      <c r="F34" s="45">
        <f t="shared" si="5"/>
        <v>87800</v>
      </c>
      <c r="G34" s="57">
        <v>0.5</v>
      </c>
      <c r="H34" s="5">
        <f t="shared" si="1"/>
        <v>43900</v>
      </c>
      <c r="I34" s="5">
        <f t="shared" si="2"/>
        <v>7559.3821432021668</v>
      </c>
      <c r="J34" s="5">
        <f t="shared" si="3"/>
        <v>20356.198534550345</v>
      </c>
    </row>
    <row r="35" spans="1:12" x14ac:dyDescent="0.25">
      <c r="A35">
        <f t="shared" si="8"/>
        <v>2045</v>
      </c>
      <c r="B35">
        <f t="shared" si="8"/>
        <v>25</v>
      </c>
      <c r="C35" s="45">
        <f t="shared" si="7"/>
        <v>43400</v>
      </c>
      <c r="D35" s="45">
        <f t="shared" si="7"/>
        <v>26400</v>
      </c>
      <c r="E35" s="45">
        <f t="shared" si="7"/>
        <v>18000</v>
      </c>
      <c r="F35" s="45">
        <f t="shared" si="5"/>
        <v>87800</v>
      </c>
      <c r="G35" s="57">
        <v>0.5</v>
      </c>
      <c r="H35" s="5">
        <f t="shared" si="1"/>
        <v>43900</v>
      </c>
      <c r="I35" s="5">
        <f t="shared" si="2"/>
        <v>7064.8431244880048</v>
      </c>
      <c r="J35" s="5">
        <f t="shared" si="3"/>
        <v>19763.299548107134</v>
      </c>
    </row>
    <row r="36" spans="1:12" x14ac:dyDescent="0.25">
      <c r="A36">
        <f t="shared" si="8"/>
        <v>2046</v>
      </c>
      <c r="B36">
        <f t="shared" si="8"/>
        <v>26</v>
      </c>
      <c r="C36" s="45">
        <f t="shared" si="7"/>
        <v>43400</v>
      </c>
      <c r="D36" s="45">
        <f t="shared" si="7"/>
        <v>26400</v>
      </c>
      <c r="E36" s="45">
        <f t="shared" si="7"/>
        <v>18000</v>
      </c>
      <c r="F36" s="45">
        <f t="shared" si="5"/>
        <v>87800</v>
      </c>
      <c r="G36" s="57">
        <v>0.5</v>
      </c>
      <c r="H36" s="5">
        <f t="shared" si="1"/>
        <v>43900</v>
      </c>
      <c r="I36" s="5">
        <f t="shared" si="2"/>
        <v>6602.657125689725</v>
      </c>
      <c r="J36" s="5">
        <f t="shared" si="3"/>
        <v>19187.669464181683</v>
      </c>
    </row>
    <row r="37" spans="1:12" x14ac:dyDescent="0.25">
      <c r="A37">
        <f t="shared" si="8"/>
        <v>2047</v>
      </c>
      <c r="B37">
        <f t="shared" si="8"/>
        <v>27</v>
      </c>
      <c r="C37" s="45">
        <f t="shared" si="7"/>
        <v>43400</v>
      </c>
      <c r="D37" s="45">
        <f t="shared" si="7"/>
        <v>26400</v>
      </c>
      <c r="E37" s="45">
        <f t="shared" si="7"/>
        <v>18000</v>
      </c>
      <c r="F37" s="45">
        <f t="shared" si="5"/>
        <v>87800</v>
      </c>
      <c r="G37" s="57">
        <v>0.5</v>
      </c>
      <c r="H37" s="5">
        <f t="shared" si="1"/>
        <v>43900</v>
      </c>
      <c r="I37" s="5">
        <f t="shared" si="2"/>
        <v>6170.7075941025469</v>
      </c>
      <c r="J37" s="5">
        <f t="shared" si="3"/>
        <v>18628.805305030764</v>
      </c>
    </row>
    <row r="38" spans="1:12" x14ac:dyDescent="0.25">
      <c r="A38">
        <f t="shared" si="8"/>
        <v>2048</v>
      </c>
      <c r="B38">
        <f t="shared" si="8"/>
        <v>28</v>
      </c>
      <c r="C38" s="45">
        <f t="shared" si="7"/>
        <v>43400</v>
      </c>
      <c r="D38" s="45">
        <f t="shared" si="7"/>
        <v>26400</v>
      </c>
      <c r="E38" s="45">
        <f t="shared" si="7"/>
        <v>18000</v>
      </c>
      <c r="F38" s="45">
        <f t="shared" si="5"/>
        <v>87800</v>
      </c>
      <c r="G38" s="57">
        <v>0.5</v>
      </c>
      <c r="H38" s="5">
        <f t="shared" si="1"/>
        <v>43900</v>
      </c>
      <c r="I38" s="5">
        <f t="shared" si="2"/>
        <v>5767.0164430864925</v>
      </c>
      <c r="J38" s="5">
        <f t="shared" si="3"/>
        <v>18086.218742748315</v>
      </c>
    </row>
    <row r="39" spans="1:12" x14ac:dyDescent="0.25">
      <c r="A39">
        <f t="shared" ref="A39:B39" si="9">+A38+1</f>
        <v>2049</v>
      </c>
      <c r="B39">
        <f t="shared" si="9"/>
        <v>29</v>
      </c>
      <c r="C39" s="45">
        <f t="shared" ref="C39:E39" si="10">+C38</f>
        <v>43400</v>
      </c>
      <c r="D39" s="45">
        <f t="shared" si="10"/>
        <v>26400</v>
      </c>
      <c r="E39" s="45">
        <f t="shared" si="10"/>
        <v>18000</v>
      </c>
      <c r="F39" s="45">
        <f t="shared" ref="F39:F40" si="11">+E39+D39+C39</f>
        <v>87800</v>
      </c>
      <c r="G39" s="57">
        <v>0.5</v>
      </c>
      <c r="H39" s="5">
        <f t="shared" ref="H39:H40" si="12">+G39*F39</f>
        <v>43900</v>
      </c>
      <c r="I39" s="5">
        <f t="shared" ref="I39:I40" si="13">H39/(1.07^(A39-2018))</f>
        <v>5389.7349935387774</v>
      </c>
      <c r="J39" s="5">
        <f t="shared" ref="J39:J40" si="14">H39/(1.03^(A39-2018))</f>
        <v>17559.435672571173</v>
      </c>
    </row>
    <row r="40" spans="1:12" x14ac:dyDescent="0.25">
      <c r="A40">
        <f t="shared" ref="A40:B40" si="15">+A39+1</f>
        <v>2050</v>
      </c>
      <c r="B40">
        <f t="shared" si="15"/>
        <v>30</v>
      </c>
      <c r="C40" s="45">
        <f t="shared" ref="C40:E40" si="16">+C39</f>
        <v>43400</v>
      </c>
      <c r="D40" s="45">
        <f t="shared" si="16"/>
        <v>26400</v>
      </c>
      <c r="E40" s="45">
        <f t="shared" si="16"/>
        <v>18000</v>
      </c>
      <c r="F40" s="45">
        <f t="shared" si="11"/>
        <v>87800</v>
      </c>
      <c r="G40" s="57">
        <v>0.5</v>
      </c>
      <c r="H40" s="5">
        <f t="shared" si="12"/>
        <v>43900</v>
      </c>
      <c r="I40" s="5">
        <f t="shared" si="13"/>
        <v>5037.135507980166</v>
      </c>
      <c r="J40" s="5">
        <f t="shared" si="14"/>
        <v>17047.995798612796</v>
      </c>
    </row>
    <row r="41" spans="1:12" x14ac:dyDescent="0.25">
      <c r="A41" s="1" t="s">
        <v>23</v>
      </c>
      <c r="C41" s="45"/>
      <c r="D41" s="45"/>
      <c r="E41" s="45"/>
      <c r="H41" s="11">
        <f>SUM(H8:H40)</f>
        <v>1304050</v>
      </c>
      <c r="I41" s="11">
        <f>SUM(I8:I40)</f>
        <v>465497.85722853872</v>
      </c>
      <c r="J41" s="11">
        <f>SUM(J8:J40)</f>
        <v>799337.94671402371</v>
      </c>
    </row>
    <row r="42" spans="1:12" x14ac:dyDescent="0.25">
      <c r="C42" s="45"/>
      <c r="D42" s="45"/>
      <c r="E42" s="45"/>
    </row>
    <row r="44" spans="1:12" ht="15.75" x14ac:dyDescent="0.25">
      <c r="A44" s="164" t="s">
        <v>206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 x14ac:dyDescent="0.25">
      <c r="A45" s="55" t="s">
        <v>324</v>
      </c>
      <c r="B45" s="55"/>
      <c r="C45" s="55"/>
      <c r="D45" s="166"/>
      <c r="E45" s="55"/>
      <c r="F45" s="165">
        <v>500</v>
      </c>
      <c r="G45" s="55" t="s">
        <v>327</v>
      </c>
      <c r="H45" s="55"/>
      <c r="I45" s="55"/>
      <c r="J45" s="55"/>
      <c r="K45" s="55"/>
      <c r="L45" s="55"/>
    </row>
    <row r="46" spans="1:12" x14ac:dyDescent="0.25">
      <c r="A46" s="55" t="s">
        <v>325</v>
      </c>
      <c r="B46" s="55"/>
      <c r="C46" s="55"/>
      <c r="D46" s="166"/>
      <c r="E46" s="55"/>
      <c r="F46" s="167">
        <v>200</v>
      </c>
      <c r="G46" s="55" t="s">
        <v>327</v>
      </c>
      <c r="H46" s="55"/>
      <c r="I46" s="55"/>
      <c r="J46" s="55"/>
      <c r="K46" s="55"/>
      <c r="L46" s="55"/>
    </row>
    <row r="47" spans="1:12" x14ac:dyDescent="0.25">
      <c r="A47" s="55" t="s">
        <v>131</v>
      </c>
      <c r="B47" s="55"/>
      <c r="C47" s="55"/>
      <c r="D47" s="166">
        <v>300000</v>
      </c>
      <c r="E47" s="55" t="s">
        <v>132</v>
      </c>
      <c r="F47" s="55"/>
      <c r="G47" s="55"/>
      <c r="H47" s="55"/>
      <c r="I47" s="55"/>
      <c r="J47" s="55"/>
      <c r="K47" s="55"/>
      <c r="L47" s="55"/>
    </row>
    <row r="48" spans="1:12" x14ac:dyDescent="0.25">
      <c r="A48" s="55" t="s">
        <v>133</v>
      </c>
      <c r="B48" s="55"/>
      <c r="C48" s="55"/>
      <c r="D48" s="166">
        <v>1000000</v>
      </c>
      <c r="E48" s="55"/>
      <c r="F48" s="55"/>
      <c r="G48" s="55"/>
      <c r="H48" s="55"/>
      <c r="I48" s="55"/>
      <c r="J48" s="55"/>
      <c r="K48" s="55"/>
      <c r="L48" s="55"/>
    </row>
    <row r="49" spans="1:5" x14ac:dyDescent="0.25">
      <c r="D49" s="45"/>
    </row>
    <row r="51" spans="1:5" x14ac:dyDescent="0.25">
      <c r="A51" s="1" t="s">
        <v>134</v>
      </c>
    </row>
    <row r="52" spans="1:5" x14ac:dyDescent="0.25">
      <c r="A52" t="s">
        <v>207</v>
      </c>
      <c r="D52" t="s">
        <v>139</v>
      </c>
      <c r="E52" t="s">
        <v>140</v>
      </c>
    </row>
    <row r="53" spans="1:5" x14ac:dyDescent="0.25">
      <c r="B53" t="s">
        <v>208</v>
      </c>
      <c r="D53" s="75">
        <f>825/1985</f>
        <v>0.41561712846347609</v>
      </c>
      <c r="E53" s="75">
        <f>7014/132605</f>
        <v>5.2893933109611255E-2</v>
      </c>
    </row>
    <row r="54" spans="1:5" x14ac:dyDescent="0.25">
      <c r="B54" t="s">
        <v>135</v>
      </c>
      <c r="D54" s="75">
        <f>8/1985</f>
        <v>4.0302267002518891E-3</v>
      </c>
      <c r="E54" s="75">
        <f>427/132605</f>
        <v>3.2200897402058747E-3</v>
      </c>
    </row>
    <row r="55" spans="1:5" x14ac:dyDescent="0.25">
      <c r="B55" t="s">
        <v>137</v>
      </c>
      <c r="D55" s="75">
        <f>236/1985</f>
        <v>0.11889168765743073</v>
      </c>
      <c r="E55" s="75">
        <f>12822/132605</f>
        <v>9.669318653142793E-2</v>
      </c>
    </row>
    <row r="56" spans="1:5" x14ac:dyDescent="0.25">
      <c r="B56" t="s">
        <v>136</v>
      </c>
      <c r="D56" s="75">
        <f>38/1985</f>
        <v>1.9143576826196475E-2</v>
      </c>
      <c r="E56" s="75">
        <f>4773/132605</f>
        <v>3.5994117868858637E-2</v>
      </c>
    </row>
    <row r="57" spans="1:5" x14ac:dyDescent="0.25">
      <c r="D57" s="75"/>
      <c r="E57" s="75"/>
    </row>
    <row r="58" spans="1:5" x14ac:dyDescent="0.25">
      <c r="A58" t="s">
        <v>210</v>
      </c>
    </row>
    <row r="59" spans="1:5" x14ac:dyDescent="0.25">
      <c r="B59" t="s">
        <v>209</v>
      </c>
      <c r="D59" s="74">
        <v>0.29924692826000793</v>
      </c>
      <c r="E59" s="75">
        <f>29422/133420</f>
        <v>0.22052166092040174</v>
      </c>
    </row>
    <row r="60" spans="1:5" x14ac:dyDescent="0.25">
      <c r="B60" t="s">
        <v>138</v>
      </c>
      <c r="D60" s="74">
        <f>980/2523</f>
        <v>0.38842647641696393</v>
      </c>
      <c r="E60" s="75">
        <f>56613/133420</f>
        <v>0.42432169090091443</v>
      </c>
    </row>
    <row r="63" spans="1:5" x14ac:dyDescent="0.25">
      <c r="A63" s="1" t="s">
        <v>211</v>
      </c>
    </row>
    <row r="64" spans="1:5" x14ac:dyDescent="0.25">
      <c r="C64" s="102">
        <v>200</v>
      </c>
      <c r="D64" t="s">
        <v>142</v>
      </c>
    </row>
    <row r="65" spans="1:10" x14ac:dyDescent="0.25">
      <c r="B65" t="s">
        <v>146</v>
      </c>
      <c r="C65" s="77">
        <f>ROUND(C$64*D65,0)</f>
        <v>83</v>
      </c>
      <c r="D65" s="76">
        <f>+D53</f>
        <v>0.41561712846347609</v>
      </c>
      <c r="E65" t="s">
        <v>143</v>
      </c>
    </row>
    <row r="66" spans="1:10" x14ac:dyDescent="0.25">
      <c r="C66" s="77">
        <f>ROUND(C$64*D66,0)</f>
        <v>1</v>
      </c>
      <c r="D66" s="76">
        <f>+D54</f>
        <v>4.0302267002518891E-3</v>
      </c>
      <c r="E66" t="s">
        <v>144</v>
      </c>
    </row>
    <row r="67" spans="1:10" x14ac:dyDescent="0.25">
      <c r="C67" s="77">
        <f>ROUND(C$64*D67,0)</f>
        <v>24</v>
      </c>
      <c r="D67" s="76">
        <f>+D55</f>
        <v>0.11889168765743073</v>
      </c>
      <c r="E67" t="s">
        <v>145</v>
      </c>
    </row>
    <row r="69" spans="1:10" x14ac:dyDescent="0.25">
      <c r="B69" t="s">
        <v>141</v>
      </c>
      <c r="C69" s="44">
        <v>500</v>
      </c>
      <c r="D69" t="s">
        <v>147</v>
      </c>
    </row>
    <row r="70" spans="1:10" x14ac:dyDescent="0.25">
      <c r="C70" s="64">
        <f>+D70/2</f>
        <v>13</v>
      </c>
      <c r="D70" s="108">
        <f>ROUND(C$69*E70,0)</f>
        <v>26</v>
      </c>
      <c r="E70" s="76">
        <f>+E53</f>
        <v>5.2893933109611255E-2</v>
      </c>
      <c r="F70" t="s">
        <v>143</v>
      </c>
    </row>
    <row r="71" spans="1:10" x14ac:dyDescent="0.25">
      <c r="C71" s="77">
        <f>ROUND(C$69*D71,0)</f>
        <v>2</v>
      </c>
      <c r="D71" s="76">
        <f>+E54</f>
        <v>3.2200897402058747E-3</v>
      </c>
      <c r="E71" t="s">
        <v>144</v>
      </c>
    </row>
    <row r="72" spans="1:10" x14ac:dyDescent="0.25">
      <c r="C72" s="77">
        <f>ROUND(C$69*D72,0)</f>
        <v>48</v>
      </c>
      <c r="D72" s="76">
        <f>+E55</f>
        <v>9.669318653142793E-2</v>
      </c>
      <c r="E72" t="s">
        <v>145</v>
      </c>
    </row>
    <row r="73" spans="1:10" x14ac:dyDescent="0.25">
      <c r="B73" s="109" t="s">
        <v>326</v>
      </c>
      <c r="C73" s="64"/>
      <c r="D73" s="64"/>
      <c r="E73" s="64"/>
      <c r="F73" s="64"/>
      <c r="G73" s="64"/>
      <c r="H73" s="64"/>
      <c r="I73" s="64"/>
      <c r="J73" s="64"/>
    </row>
    <row r="76" spans="1:10" x14ac:dyDescent="0.25">
      <c r="A76" s="1" t="s">
        <v>158</v>
      </c>
    </row>
    <row r="77" spans="1:10" x14ac:dyDescent="0.25">
      <c r="B77" t="s">
        <v>148</v>
      </c>
      <c r="E77">
        <v>0.1</v>
      </c>
      <c r="F77" t="s">
        <v>151</v>
      </c>
    </row>
    <row r="78" spans="1:10" x14ac:dyDescent="0.25">
      <c r="B78" t="s">
        <v>149</v>
      </c>
      <c r="E78">
        <v>0.33</v>
      </c>
      <c r="F78" t="s">
        <v>151</v>
      </c>
    </row>
    <row r="79" spans="1:10" x14ac:dyDescent="0.25">
      <c r="B79" t="s">
        <v>265</v>
      </c>
      <c r="E79">
        <v>0.5</v>
      </c>
      <c r="F79" t="s">
        <v>151</v>
      </c>
    </row>
    <row r="80" spans="1:10" x14ac:dyDescent="0.25">
      <c r="B80" t="s">
        <v>178</v>
      </c>
      <c r="E80">
        <v>0.37</v>
      </c>
      <c r="F80" t="s">
        <v>151</v>
      </c>
    </row>
    <row r="81" spans="1:12" x14ac:dyDescent="0.25">
      <c r="B81" s="1" t="s">
        <v>150</v>
      </c>
      <c r="E81" s="70">
        <f>AVERAGE(E77:E80)</f>
        <v>0.32500000000000001</v>
      </c>
      <c r="F81" t="s">
        <v>151</v>
      </c>
    </row>
    <row r="82" spans="1:12" x14ac:dyDescent="0.25">
      <c r="B82" s="1" t="s">
        <v>162</v>
      </c>
      <c r="E82" s="77">
        <f>+C70+C65</f>
        <v>96</v>
      </c>
      <c r="F82" t="s">
        <v>179</v>
      </c>
    </row>
    <row r="83" spans="1:12" x14ac:dyDescent="0.25">
      <c r="B83" s="1" t="s">
        <v>163</v>
      </c>
      <c r="E83" s="70">
        <f>+E82*E81*2</f>
        <v>62.400000000000006</v>
      </c>
      <c r="F83" t="s">
        <v>164</v>
      </c>
    </row>
    <row r="84" spans="1:12" x14ac:dyDescent="0.25">
      <c r="B84" s="1" t="s">
        <v>315</v>
      </c>
      <c r="E84" s="81">
        <f>+E83*250</f>
        <v>15600.000000000002</v>
      </c>
      <c r="F84" s="1" t="s">
        <v>151</v>
      </c>
    </row>
    <row r="85" spans="1:12" x14ac:dyDescent="0.25">
      <c r="B85" s="1"/>
      <c r="E85" s="70"/>
    </row>
    <row r="86" spans="1:12" x14ac:dyDescent="0.25">
      <c r="B86" s="1"/>
      <c r="E86" s="70"/>
    </row>
    <row r="87" spans="1:12" x14ac:dyDescent="0.25">
      <c r="A87" s="1" t="s">
        <v>159</v>
      </c>
    </row>
    <row r="88" spans="1:12" x14ac:dyDescent="0.25">
      <c r="B88" t="s">
        <v>160</v>
      </c>
      <c r="G88">
        <v>0.3</v>
      </c>
      <c r="H88" t="s">
        <v>151</v>
      </c>
    </row>
    <row r="89" spans="1:12" x14ac:dyDescent="0.25">
      <c r="B89" t="s">
        <v>161</v>
      </c>
      <c r="G89">
        <f>+G88</f>
        <v>0.3</v>
      </c>
      <c r="H89" t="s">
        <v>151</v>
      </c>
    </row>
    <row r="90" spans="1:12" x14ac:dyDescent="0.25">
      <c r="B90" t="s">
        <v>166</v>
      </c>
      <c r="E90" s="77">
        <f>+C72+C67</f>
        <v>72</v>
      </c>
    </row>
    <row r="91" spans="1:12" x14ac:dyDescent="0.25">
      <c r="B91" s="1" t="s">
        <v>167</v>
      </c>
      <c r="E91" s="77">
        <f>+E90*G89*2</f>
        <v>43.199999999999996</v>
      </c>
      <c r="F91" t="s">
        <v>168</v>
      </c>
    </row>
    <row r="92" spans="1:12" x14ac:dyDescent="0.25">
      <c r="B92" s="1" t="s">
        <v>165</v>
      </c>
      <c r="E92" s="81">
        <f>+E91*250</f>
        <v>10799.999999999998</v>
      </c>
      <c r="F92" s="1" t="s">
        <v>151</v>
      </c>
    </row>
    <row r="93" spans="1:12" x14ac:dyDescent="0.25">
      <c r="E93" s="77"/>
    </row>
    <row r="95" spans="1:12" x14ac:dyDescent="0.25">
      <c r="A95" s="1" t="s">
        <v>169</v>
      </c>
    </row>
    <row r="96" spans="1:12" x14ac:dyDescent="0.25">
      <c r="B96" t="s">
        <v>153</v>
      </c>
      <c r="D96" s="44"/>
      <c r="E96" s="44">
        <v>0.62</v>
      </c>
      <c r="F96" s="44" t="s">
        <v>152</v>
      </c>
      <c r="G96" s="44" t="s">
        <v>266</v>
      </c>
      <c r="H96" s="44"/>
      <c r="I96" s="44"/>
      <c r="J96" s="44"/>
      <c r="K96" s="44"/>
      <c r="L96" s="44"/>
    </row>
    <row r="97" spans="1:8" x14ac:dyDescent="0.25">
      <c r="B97" t="s">
        <v>154</v>
      </c>
      <c r="E97" s="78">
        <f>0.1*D48</f>
        <v>100000</v>
      </c>
      <c r="F97" s="111" t="s">
        <v>212</v>
      </c>
      <c r="G97" s="111"/>
      <c r="H97" s="111"/>
    </row>
    <row r="98" spans="1:8" x14ac:dyDescent="0.25">
      <c r="B98" t="s">
        <v>196</v>
      </c>
      <c r="E98" s="3">
        <v>0.7</v>
      </c>
      <c r="F98" s="113" t="s">
        <v>267</v>
      </c>
    </row>
    <row r="99" spans="1:8" x14ac:dyDescent="0.25">
      <c r="B99" s="1" t="s">
        <v>155</v>
      </c>
      <c r="C99" s="1"/>
      <c r="E99" s="79">
        <f>+E96*E97*E98</f>
        <v>43400</v>
      </c>
    </row>
    <row r="102" spans="1:8" x14ac:dyDescent="0.25">
      <c r="A102" s="1" t="s">
        <v>170</v>
      </c>
    </row>
    <row r="103" spans="1:8" x14ac:dyDescent="0.25">
      <c r="C103" t="s">
        <v>171</v>
      </c>
      <c r="E103" s="44">
        <v>0.3</v>
      </c>
      <c r="F103" s="44" t="s">
        <v>152</v>
      </c>
      <c r="G103" s="44"/>
      <c r="H103" s="44"/>
    </row>
    <row r="104" spans="1:8" x14ac:dyDescent="0.25">
      <c r="C104" t="s">
        <v>154</v>
      </c>
      <c r="E104" s="78">
        <v>300000</v>
      </c>
      <c r="F104" t="s">
        <v>172</v>
      </c>
    </row>
    <row r="105" spans="1:8" x14ac:dyDescent="0.25">
      <c r="C105" t="s">
        <v>214</v>
      </c>
      <c r="E105" s="3">
        <v>0.2</v>
      </c>
    </row>
    <row r="106" spans="1:8" x14ac:dyDescent="0.25">
      <c r="C106" s="1" t="s">
        <v>155</v>
      </c>
      <c r="D106" s="1"/>
      <c r="E106" s="82">
        <f>+E103*E104*E105</f>
        <v>18000</v>
      </c>
    </row>
    <row r="107" spans="1:8" x14ac:dyDescent="0.25">
      <c r="C107" s="1"/>
      <c r="D107" s="1"/>
      <c r="E107" s="1"/>
    </row>
    <row r="109" spans="1:8" x14ac:dyDescent="0.25">
      <c r="A109" s="110" t="s">
        <v>213</v>
      </c>
      <c r="B109" s="111" t="s">
        <v>345</v>
      </c>
    </row>
    <row r="110" spans="1:8" x14ac:dyDescent="0.25">
      <c r="A110" s="111"/>
      <c r="B110" s="111" t="s">
        <v>346</v>
      </c>
    </row>
  </sheetData>
  <mergeCells count="1">
    <mergeCell ref="H6:J6"/>
  </mergeCells>
  <pageMargins left="0.7" right="0.7" top="0.75" bottom="0.75" header="0.3" footer="0.3"/>
  <pageSetup scale="68" fitToHeight="0" orientation="portrait" horizontalDpi="300" r:id="rId1"/>
  <headerFooter>
    <oddFooter>&amp;LPage &amp;P of &amp;N&amp;R&amp;F -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"/>
  <sheetViews>
    <sheetView zoomScale="93" zoomScaleNormal="93" workbookViewId="0"/>
  </sheetViews>
  <sheetFormatPr defaultRowHeight="15" x14ac:dyDescent="0.25"/>
  <cols>
    <col min="2" max="2" width="13.5703125" customWidth="1"/>
    <col min="3" max="3" width="19" customWidth="1"/>
    <col min="4" max="4" width="15.7109375" customWidth="1"/>
    <col min="5" max="5" width="14.85546875" customWidth="1"/>
    <col min="6" max="8" width="11.140625" customWidth="1"/>
    <col min="9" max="9" width="12.28515625" customWidth="1"/>
    <col min="10" max="10" width="12.140625" customWidth="1"/>
    <col min="11" max="11" width="11.7109375" customWidth="1"/>
    <col min="17" max="17" width="13.5703125" customWidth="1"/>
    <col min="18" max="18" width="16.28515625" customWidth="1"/>
    <col min="19" max="19" width="12.7109375" customWidth="1"/>
  </cols>
  <sheetData>
    <row r="1" spans="1:10" ht="18.75" x14ac:dyDescent="0.3">
      <c r="A1" s="2" t="s">
        <v>182</v>
      </c>
    </row>
    <row r="3" spans="1:10" x14ac:dyDescent="0.25">
      <c r="A3" t="s">
        <v>183</v>
      </c>
    </row>
    <row r="8" spans="1:10" x14ac:dyDescent="0.25">
      <c r="H8" s="214" t="s">
        <v>19</v>
      </c>
      <c r="I8" s="214"/>
      <c r="J8" s="214"/>
    </row>
    <row r="9" spans="1:10" ht="45" x14ac:dyDescent="0.25">
      <c r="A9" s="6" t="s">
        <v>13</v>
      </c>
      <c r="B9" s="7" t="s">
        <v>12</v>
      </c>
      <c r="C9" s="7" t="s">
        <v>193</v>
      </c>
      <c r="D9" s="7" t="s">
        <v>194</v>
      </c>
      <c r="E9" s="7" t="s">
        <v>195</v>
      </c>
      <c r="F9" s="7" t="s">
        <v>342</v>
      </c>
      <c r="G9" s="7" t="s">
        <v>175</v>
      </c>
      <c r="H9" s="7" t="s">
        <v>114</v>
      </c>
      <c r="I9" s="7" t="s">
        <v>21</v>
      </c>
      <c r="J9" s="7" t="s">
        <v>20</v>
      </c>
    </row>
    <row r="10" spans="1:10" x14ac:dyDescent="0.25">
      <c r="A10">
        <v>2018</v>
      </c>
      <c r="F10" s="5"/>
      <c r="G10" s="5"/>
      <c r="H10" s="5">
        <f t="shared" ref="H10:H40" si="0">+G10*F10</f>
        <v>0</v>
      </c>
      <c r="I10" s="5">
        <f t="shared" ref="I10:I40" si="1">H10/(1.07^(A10-2018))</f>
        <v>0</v>
      </c>
      <c r="J10" s="5">
        <f t="shared" ref="J10:J40" si="2">H10/(1.03^(A10-2018))</f>
        <v>0</v>
      </c>
    </row>
    <row r="11" spans="1:10" x14ac:dyDescent="0.25">
      <c r="A11">
        <f>+A10+1</f>
        <v>2019</v>
      </c>
      <c r="F11" s="5"/>
      <c r="G11" s="5"/>
      <c r="H11" s="5">
        <f t="shared" si="0"/>
        <v>0</v>
      </c>
      <c r="I11" s="5">
        <f t="shared" si="1"/>
        <v>0</v>
      </c>
      <c r="J11" s="5">
        <f t="shared" si="2"/>
        <v>0</v>
      </c>
    </row>
    <row r="12" spans="1:10" x14ac:dyDescent="0.25">
      <c r="A12">
        <f>+A11+1</f>
        <v>2020</v>
      </c>
      <c r="C12" s="87"/>
      <c r="D12" s="87"/>
      <c r="E12" s="87"/>
      <c r="F12" s="45">
        <f t="shared" ref="F12:F41" si="3">SUM(C12:E12)</f>
        <v>0</v>
      </c>
      <c r="G12" s="57">
        <v>0.2</v>
      </c>
      <c r="H12" s="5">
        <f t="shared" si="0"/>
        <v>0</v>
      </c>
      <c r="I12" s="5">
        <f t="shared" si="1"/>
        <v>0</v>
      </c>
      <c r="J12" s="5">
        <f t="shared" si="2"/>
        <v>0</v>
      </c>
    </row>
    <row r="13" spans="1:10" x14ac:dyDescent="0.25">
      <c r="A13">
        <f t="shared" ref="A13:B27" si="4">+A12+1</f>
        <v>2021</v>
      </c>
      <c r="B13">
        <f>+B12+1</f>
        <v>1</v>
      </c>
      <c r="C13" s="87">
        <f>+C14/2</f>
        <v>5774.9999999999991</v>
      </c>
      <c r="D13" s="87">
        <f>+D14/2</f>
        <v>90000</v>
      </c>
      <c r="E13" s="90">
        <f>+E93</f>
        <v>3187.8888428038158</v>
      </c>
      <c r="F13" s="45">
        <f t="shared" si="3"/>
        <v>98962.888842803819</v>
      </c>
      <c r="G13" s="57">
        <v>0.2</v>
      </c>
      <c r="H13" s="5">
        <f t="shared" si="0"/>
        <v>19792.577768560765</v>
      </c>
      <c r="I13" s="5">
        <f t="shared" si="1"/>
        <v>16156.639210673227</v>
      </c>
      <c r="J13" s="5">
        <f t="shared" si="2"/>
        <v>18113.012461997154</v>
      </c>
    </row>
    <row r="14" spans="1:10" x14ac:dyDescent="0.25">
      <c r="A14">
        <f t="shared" si="4"/>
        <v>2022</v>
      </c>
      <c r="B14">
        <f>+B13+1</f>
        <v>2</v>
      </c>
      <c r="C14" s="88">
        <f>+E78</f>
        <v>11549.999999999998</v>
      </c>
      <c r="D14" s="89">
        <f>+D85</f>
        <v>180000</v>
      </c>
      <c r="E14" s="87">
        <f t="shared" ref="E14" si="5">+E13</f>
        <v>3187.8888428038158</v>
      </c>
      <c r="F14" s="45">
        <f t="shared" si="3"/>
        <v>194737.8888428038</v>
      </c>
      <c r="G14" s="57">
        <v>0.2</v>
      </c>
      <c r="H14" s="5">
        <f t="shared" si="0"/>
        <v>38947.577768560761</v>
      </c>
      <c r="I14" s="5">
        <f t="shared" si="1"/>
        <v>29712.920600483641</v>
      </c>
      <c r="J14" s="5">
        <f t="shared" si="2"/>
        <v>34604.418395055269</v>
      </c>
    </row>
    <row r="15" spans="1:10" x14ac:dyDescent="0.25">
      <c r="A15">
        <f t="shared" si="4"/>
        <v>2023</v>
      </c>
      <c r="B15">
        <f>+B14+1</f>
        <v>3</v>
      </c>
      <c r="C15" s="87">
        <f>+C14</f>
        <v>11549.999999999998</v>
      </c>
      <c r="D15" s="87">
        <f t="shared" ref="D15:E16" si="6">+D14</f>
        <v>180000</v>
      </c>
      <c r="E15" s="87">
        <f t="shared" ref="E15" si="7">+E14</f>
        <v>3187.8888428038158</v>
      </c>
      <c r="F15" s="45">
        <f t="shared" si="3"/>
        <v>194737.8888428038</v>
      </c>
      <c r="G15" s="57">
        <v>0.2</v>
      </c>
      <c r="H15" s="5">
        <f t="shared" si="0"/>
        <v>38947.577768560761</v>
      </c>
      <c r="I15" s="5">
        <f t="shared" si="1"/>
        <v>27769.084673349193</v>
      </c>
      <c r="J15" s="5">
        <f t="shared" si="2"/>
        <v>33596.522713645893</v>
      </c>
    </row>
    <row r="16" spans="1:10" x14ac:dyDescent="0.25">
      <c r="A16">
        <f t="shared" si="4"/>
        <v>2024</v>
      </c>
      <c r="B16">
        <f t="shared" si="4"/>
        <v>4</v>
      </c>
      <c r="C16" s="87">
        <f>+C15</f>
        <v>11549.999999999998</v>
      </c>
      <c r="D16" s="87">
        <f t="shared" si="6"/>
        <v>180000</v>
      </c>
      <c r="E16" s="87">
        <f t="shared" si="6"/>
        <v>3187.8888428038158</v>
      </c>
      <c r="F16" s="45">
        <f t="shared" si="3"/>
        <v>194737.8888428038</v>
      </c>
      <c r="G16" s="57">
        <v>0.2</v>
      </c>
      <c r="H16" s="5">
        <f t="shared" si="0"/>
        <v>38947.577768560761</v>
      </c>
      <c r="I16" s="5">
        <f t="shared" si="1"/>
        <v>25952.415582569341</v>
      </c>
      <c r="J16" s="5">
        <f t="shared" si="2"/>
        <v>32617.983217131932</v>
      </c>
    </row>
    <row r="17" spans="1:10" x14ac:dyDescent="0.25">
      <c r="A17">
        <f t="shared" si="4"/>
        <v>2025</v>
      </c>
      <c r="B17">
        <f t="shared" si="4"/>
        <v>5</v>
      </c>
      <c r="C17" s="87">
        <f t="shared" ref="C17:C42" si="8">+C16</f>
        <v>11549.999999999998</v>
      </c>
      <c r="D17" s="87">
        <f t="shared" ref="D17:D42" si="9">+D16</f>
        <v>180000</v>
      </c>
      <c r="E17" s="87">
        <f t="shared" ref="E17:E42" si="10">+E16</f>
        <v>3187.8888428038158</v>
      </c>
      <c r="F17" s="45">
        <f t="shared" si="3"/>
        <v>194737.8888428038</v>
      </c>
      <c r="G17" s="57">
        <v>0.2</v>
      </c>
      <c r="H17" s="5">
        <f t="shared" si="0"/>
        <v>38947.577768560761</v>
      </c>
      <c r="I17" s="5">
        <f t="shared" si="1"/>
        <v>24254.594002401253</v>
      </c>
      <c r="J17" s="5">
        <f t="shared" si="2"/>
        <v>31667.944871001873</v>
      </c>
    </row>
    <row r="18" spans="1:10" x14ac:dyDescent="0.25">
      <c r="A18">
        <f t="shared" si="4"/>
        <v>2026</v>
      </c>
      <c r="B18">
        <f t="shared" si="4"/>
        <v>6</v>
      </c>
      <c r="C18" s="87">
        <f t="shared" si="8"/>
        <v>11549.999999999998</v>
      </c>
      <c r="D18" s="87">
        <f t="shared" si="9"/>
        <v>180000</v>
      </c>
      <c r="E18" s="87">
        <f t="shared" si="10"/>
        <v>3187.8888428038158</v>
      </c>
      <c r="F18" s="45">
        <f t="shared" si="3"/>
        <v>194737.8888428038</v>
      </c>
      <c r="G18" s="57">
        <v>0.2</v>
      </c>
      <c r="H18" s="5">
        <f t="shared" si="0"/>
        <v>38947.577768560761</v>
      </c>
      <c r="I18" s="5">
        <f t="shared" si="1"/>
        <v>22667.844862057245</v>
      </c>
      <c r="J18" s="5">
        <f t="shared" si="2"/>
        <v>30745.577544662017</v>
      </c>
    </row>
    <row r="19" spans="1:10" x14ac:dyDescent="0.25">
      <c r="A19">
        <f t="shared" si="4"/>
        <v>2027</v>
      </c>
      <c r="B19">
        <f t="shared" si="4"/>
        <v>7</v>
      </c>
      <c r="C19" s="87">
        <f t="shared" si="8"/>
        <v>11549.999999999998</v>
      </c>
      <c r="D19" s="87">
        <f t="shared" si="9"/>
        <v>180000</v>
      </c>
      <c r="E19" s="87">
        <f t="shared" si="10"/>
        <v>3187.8888428038158</v>
      </c>
      <c r="F19" s="45">
        <f t="shared" si="3"/>
        <v>194737.8888428038</v>
      </c>
      <c r="G19" s="57">
        <v>0.2</v>
      </c>
      <c r="H19" s="5">
        <f t="shared" si="0"/>
        <v>38947.577768560761</v>
      </c>
      <c r="I19" s="5">
        <f t="shared" si="1"/>
        <v>21184.901740240413</v>
      </c>
      <c r="J19" s="5">
        <f t="shared" si="2"/>
        <v>29850.075286079627</v>
      </c>
    </row>
    <row r="20" spans="1:10" x14ac:dyDescent="0.25">
      <c r="A20">
        <f t="shared" si="4"/>
        <v>2028</v>
      </c>
      <c r="B20">
        <f t="shared" si="4"/>
        <v>8</v>
      </c>
      <c r="C20" s="87">
        <f t="shared" si="8"/>
        <v>11549.999999999998</v>
      </c>
      <c r="D20" s="87">
        <f t="shared" si="9"/>
        <v>180000</v>
      </c>
      <c r="E20" s="87">
        <f t="shared" si="10"/>
        <v>3187.8888428038158</v>
      </c>
      <c r="F20" s="45">
        <f t="shared" si="3"/>
        <v>194737.8888428038</v>
      </c>
      <c r="G20" s="57">
        <v>0.2</v>
      </c>
      <c r="H20" s="5">
        <f t="shared" si="0"/>
        <v>38947.577768560761</v>
      </c>
      <c r="I20" s="5">
        <f t="shared" si="1"/>
        <v>19798.973589009736</v>
      </c>
      <c r="J20" s="5">
        <f t="shared" si="2"/>
        <v>28980.655617553039</v>
      </c>
    </row>
    <row r="21" spans="1:10" x14ac:dyDescent="0.25">
      <c r="A21">
        <f t="shared" si="4"/>
        <v>2029</v>
      </c>
      <c r="B21">
        <f t="shared" si="4"/>
        <v>9</v>
      </c>
      <c r="C21" s="87">
        <f t="shared" si="8"/>
        <v>11549.999999999998</v>
      </c>
      <c r="D21" s="87">
        <f t="shared" si="9"/>
        <v>180000</v>
      </c>
      <c r="E21" s="87">
        <f t="shared" si="10"/>
        <v>3187.8888428038158</v>
      </c>
      <c r="F21" s="45">
        <f t="shared" si="3"/>
        <v>194737.8888428038</v>
      </c>
      <c r="G21" s="57">
        <v>0.2</v>
      </c>
      <c r="H21" s="5">
        <f t="shared" si="0"/>
        <v>38947.577768560761</v>
      </c>
      <c r="I21" s="5">
        <f t="shared" si="1"/>
        <v>18503.713634588534</v>
      </c>
      <c r="J21" s="5">
        <f t="shared" si="2"/>
        <v>28136.558851993239</v>
      </c>
    </row>
    <row r="22" spans="1:10" x14ac:dyDescent="0.25">
      <c r="A22">
        <f t="shared" si="4"/>
        <v>2030</v>
      </c>
      <c r="B22">
        <f t="shared" si="4"/>
        <v>10</v>
      </c>
      <c r="C22" s="87">
        <f t="shared" si="8"/>
        <v>11549.999999999998</v>
      </c>
      <c r="D22" s="87">
        <f t="shared" si="9"/>
        <v>180000</v>
      </c>
      <c r="E22" s="87">
        <f t="shared" si="10"/>
        <v>3187.8888428038158</v>
      </c>
      <c r="F22" s="45">
        <f t="shared" si="3"/>
        <v>194737.8888428038</v>
      </c>
      <c r="G22" s="57">
        <v>0.2</v>
      </c>
      <c r="H22" s="5">
        <f t="shared" si="0"/>
        <v>38947.577768560761</v>
      </c>
      <c r="I22" s="5">
        <f t="shared" si="1"/>
        <v>17293.190312699568</v>
      </c>
      <c r="J22" s="5">
        <f t="shared" si="2"/>
        <v>27317.047429119651</v>
      </c>
    </row>
    <row r="23" spans="1:10" x14ac:dyDescent="0.25">
      <c r="A23">
        <f t="shared" si="4"/>
        <v>2031</v>
      </c>
      <c r="B23">
        <f t="shared" si="4"/>
        <v>11</v>
      </c>
      <c r="C23" s="87">
        <f t="shared" si="8"/>
        <v>11549.999999999998</v>
      </c>
      <c r="D23" s="87">
        <f t="shared" si="9"/>
        <v>180000</v>
      </c>
      <c r="E23" s="87">
        <f t="shared" si="10"/>
        <v>3187.8888428038158</v>
      </c>
      <c r="F23" s="45">
        <f t="shared" si="3"/>
        <v>194737.8888428038</v>
      </c>
      <c r="G23" s="57">
        <v>0.2</v>
      </c>
      <c r="H23" s="5">
        <f t="shared" si="0"/>
        <v>38947.577768560761</v>
      </c>
      <c r="I23" s="5">
        <f t="shared" si="1"/>
        <v>16161.860105326698</v>
      </c>
      <c r="J23" s="5">
        <f t="shared" si="2"/>
        <v>26521.405270989955</v>
      </c>
    </row>
    <row r="24" spans="1:10" x14ac:dyDescent="0.25">
      <c r="A24">
        <f t="shared" si="4"/>
        <v>2032</v>
      </c>
      <c r="B24">
        <f t="shared" si="4"/>
        <v>12</v>
      </c>
      <c r="C24" s="87">
        <f t="shared" si="8"/>
        <v>11549.999999999998</v>
      </c>
      <c r="D24" s="87">
        <f t="shared" si="9"/>
        <v>180000</v>
      </c>
      <c r="E24" s="87">
        <f t="shared" si="10"/>
        <v>3187.8888428038158</v>
      </c>
      <c r="F24" s="45">
        <f t="shared" si="3"/>
        <v>194737.8888428038</v>
      </c>
      <c r="G24" s="57">
        <v>0.2</v>
      </c>
      <c r="H24" s="5">
        <f t="shared" si="0"/>
        <v>38947.577768560761</v>
      </c>
      <c r="I24" s="5">
        <f t="shared" si="1"/>
        <v>15104.542154510933</v>
      </c>
      <c r="J24" s="5">
        <f t="shared" si="2"/>
        <v>25748.937156300926</v>
      </c>
    </row>
    <row r="25" spans="1:10" x14ac:dyDescent="0.25">
      <c r="A25">
        <f t="shared" si="4"/>
        <v>2033</v>
      </c>
      <c r="B25">
        <f t="shared" si="4"/>
        <v>13</v>
      </c>
      <c r="C25" s="87">
        <f t="shared" si="8"/>
        <v>11549.999999999998</v>
      </c>
      <c r="D25" s="87">
        <f t="shared" si="9"/>
        <v>180000</v>
      </c>
      <c r="E25" s="87">
        <f t="shared" si="10"/>
        <v>3187.8888428038158</v>
      </c>
      <c r="F25" s="45">
        <f t="shared" si="3"/>
        <v>194737.8888428038</v>
      </c>
      <c r="G25" s="57">
        <v>0.2</v>
      </c>
      <c r="H25" s="5">
        <f t="shared" si="0"/>
        <v>38947.577768560761</v>
      </c>
      <c r="I25" s="5">
        <f t="shared" si="1"/>
        <v>14116.394536926104</v>
      </c>
      <c r="J25" s="5">
        <f t="shared" si="2"/>
        <v>24998.968112913517</v>
      </c>
    </row>
    <row r="26" spans="1:10" x14ac:dyDescent="0.25">
      <c r="A26">
        <f t="shared" si="4"/>
        <v>2034</v>
      </c>
      <c r="B26">
        <f t="shared" si="4"/>
        <v>14</v>
      </c>
      <c r="C26" s="87">
        <f t="shared" si="8"/>
        <v>11549.999999999998</v>
      </c>
      <c r="D26" s="87">
        <f t="shared" si="9"/>
        <v>180000</v>
      </c>
      <c r="E26" s="87">
        <f t="shared" si="10"/>
        <v>3187.8888428038158</v>
      </c>
      <c r="F26" s="45">
        <f t="shared" si="3"/>
        <v>194737.8888428038</v>
      </c>
      <c r="G26" s="57">
        <v>0.2</v>
      </c>
      <c r="H26" s="5">
        <f t="shared" si="0"/>
        <v>38947.577768560761</v>
      </c>
      <c r="I26" s="5">
        <f t="shared" si="1"/>
        <v>13192.892090585146</v>
      </c>
      <c r="J26" s="5">
        <f t="shared" si="2"/>
        <v>24270.842828071382</v>
      </c>
    </row>
    <row r="27" spans="1:10" x14ac:dyDescent="0.25">
      <c r="A27">
        <f t="shared" si="4"/>
        <v>2035</v>
      </c>
      <c r="B27">
        <f t="shared" si="4"/>
        <v>15</v>
      </c>
      <c r="C27" s="87">
        <f t="shared" si="8"/>
        <v>11549.999999999998</v>
      </c>
      <c r="D27" s="87">
        <f t="shared" si="9"/>
        <v>180000</v>
      </c>
      <c r="E27" s="87">
        <f t="shared" si="10"/>
        <v>3187.8888428038158</v>
      </c>
      <c r="F27" s="45">
        <f t="shared" si="3"/>
        <v>194737.8888428038</v>
      </c>
      <c r="G27" s="57">
        <v>0.2</v>
      </c>
      <c r="H27" s="5">
        <f t="shared" si="0"/>
        <v>38947.577768560761</v>
      </c>
      <c r="I27" s="5">
        <f t="shared" si="1"/>
        <v>12329.805692135651</v>
      </c>
      <c r="J27" s="5">
        <f t="shared" si="2"/>
        <v>23563.925075797459</v>
      </c>
    </row>
    <row r="28" spans="1:10" x14ac:dyDescent="0.25">
      <c r="A28">
        <f t="shared" ref="A28:B42" si="11">+A27+1</f>
        <v>2036</v>
      </c>
      <c r="B28">
        <f t="shared" si="11"/>
        <v>16</v>
      </c>
      <c r="C28" s="87">
        <f t="shared" si="8"/>
        <v>11549.999999999998</v>
      </c>
      <c r="D28" s="87">
        <f t="shared" si="9"/>
        <v>180000</v>
      </c>
      <c r="E28" s="87">
        <f t="shared" si="10"/>
        <v>3187.8888428038158</v>
      </c>
      <c r="F28" s="45">
        <f t="shared" si="3"/>
        <v>194737.8888428038</v>
      </c>
      <c r="G28" s="57">
        <v>0.2</v>
      </c>
      <c r="H28" s="5">
        <f t="shared" si="0"/>
        <v>38947.577768560761</v>
      </c>
      <c r="I28" s="5">
        <f t="shared" si="1"/>
        <v>11523.182889846403</v>
      </c>
      <c r="J28" s="5">
        <f t="shared" si="2"/>
        <v>22877.597160968406</v>
      </c>
    </row>
    <row r="29" spans="1:10" x14ac:dyDescent="0.25">
      <c r="A29">
        <f t="shared" si="11"/>
        <v>2037</v>
      </c>
      <c r="B29">
        <f t="shared" si="11"/>
        <v>17</v>
      </c>
      <c r="C29" s="87">
        <f t="shared" si="8"/>
        <v>11549.999999999998</v>
      </c>
      <c r="D29" s="87">
        <f t="shared" si="9"/>
        <v>180000</v>
      </c>
      <c r="E29" s="87">
        <f t="shared" si="10"/>
        <v>3187.8888428038158</v>
      </c>
      <c r="F29" s="45">
        <f t="shared" si="3"/>
        <v>194737.8888428038</v>
      </c>
      <c r="G29" s="57">
        <v>0.2</v>
      </c>
      <c r="H29" s="5">
        <f t="shared" si="0"/>
        <v>38947.577768560761</v>
      </c>
      <c r="I29" s="5">
        <f t="shared" si="1"/>
        <v>10769.329803594768</v>
      </c>
      <c r="J29" s="5">
        <f t="shared" si="2"/>
        <v>22211.259379580977</v>
      </c>
    </row>
    <row r="30" spans="1:10" x14ac:dyDescent="0.25">
      <c r="A30">
        <f t="shared" si="11"/>
        <v>2038</v>
      </c>
      <c r="B30">
        <f t="shared" si="11"/>
        <v>18</v>
      </c>
      <c r="C30" s="87">
        <f t="shared" si="8"/>
        <v>11549.999999999998</v>
      </c>
      <c r="D30" s="87">
        <f t="shared" si="9"/>
        <v>180000</v>
      </c>
      <c r="E30" s="87">
        <f t="shared" si="10"/>
        <v>3187.8888428038158</v>
      </c>
      <c r="F30" s="45">
        <f t="shared" si="3"/>
        <v>194737.8888428038</v>
      </c>
      <c r="G30" s="57">
        <v>0.2</v>
      </c>
      <c r="H30" s="5">
        <f t="shared" si="0"/>
        <v>38947.577768560761</v>
      </c>
      <c r="I30" s="5">
        <f t="shared" si="1"/>
        <v>10064.794208967074</v>
      </c>
      <c r="J30" s="5">
        <f t="shared" si="2"/>
        <v>21564.329494738813</v>
      </c>
    </row>
    <row r="31" spans="1:10" x14ac:dyDescent="0.25">
      <c r="A31">
        <f t="shared" si="11"/>
        <v>2039</v>
      </c>
      <c r="B31">
        <f t="shared" si="11"/>
        <v>19</v>
      </c>
      <c r="C31" s="87">
        <f t="shared" si="8"/>
        <v>11549.999999999998</v>
      </c>
      <c r="D31" s="87">
        <f t="shared" si="9"/>
        <v>180000</v>
      </c>
      <c r="E31" s="87">
        <f t="shared" si="10"/>
        <v>3187.8888428038158</v>
      </c>
      <c r="F31" s="45">
        <f t="shared" si="3"/>
        <v>194737.8888428038</v>
      </c>
      <c r="G31" s="57">
        <v>0.2</v>
      </c>
      <c r="H31" s="5">
        <f t="shared" si="0"/>
        <v>38947.577768560761</v>
      </c>
      <c r="I31" s="5">
        <f t="shared" si="1"/>
        <v>9406.3497280066094</v>
      </c>
      <c r="J31" s="5">
        <f t="shared" si="2"/>
        <v>20936.242227901763</v>
      </c>
    </row>
    <row r="32" spans="1:10" x14ac:dyDescent="0.25">
      <c r="A32">
        <f t="shared" si="11"/>
        <v>2040</v>
      </c>
      <c r="B32">
        <f t="shared" si="11"/>
        <v>20</v>
      </c>
      <c r="C32" s="87">
        <f t="shared" si="8"/>
        <v>11549.999999999998</v>
      </c>
      <c r="D32" s="87">
        <f t="shared" si="9"/>
        <v>180000</v>
      </c>
      <c r="E32" s="87">
        <f t="shared" si="10"/>
        <v>3187.8888428038158</v>
      </c>
      <c r="F32" s="45">
        <f t="shared" si="3"/>
        <v>194737.8888428038</v>
      </c>
      <c r="G32" s="57">
        <v>0.2</v>
      </c>
      <c r="H32" s="5">
        <f t="shared" si="0"/>
        <v>38947.577768560761</v>
      </c>
      <c r="I32" s="5">
        <f t="shared" si="1"/>
        <v>8790.9810542117848</v>
      </c>
      <c r="J32" s="5">
        <f t="shared" si="2"/>
        <v>20326.448764953166</v>
      </c>
    </row>
    <row r="33" spans="1:10" x14ac:dyDescent="0.25">
      <c r="A33">
        <f t="shared" si="11"/>
        <v>2041</v>
      </c>
      <c r="B33">
        <f t="shared" si="11"/>
        <v>21</v>
      </c>
      <c r="C33" s="87">
        <f t="shared" si="8"/>
        <v>11549.999999999998</v>
      </c>
      <c r="D33" s="87">
        <f t="shared" si="9"/>
        <v>180000</v>
      </c>
      <c r="E33" s="87">
        <f t="shared" si="10"/>
        <v>3187.8888428038158</v>
      </c>
      <c r="F33" s="45">
        <f t="shared" si="3"/>
        <v>194737.8888428038</v>
      </c>
      <c r="G33" s="57">
        <v>0.2</v>
      </c>
      <c r="H33" s="5">
        <f t="shared" si="0"/>
        <v>38947.577768560761</v>
      </c>
      <c r="I33" s="5">
        <f t="shared" si="1"/>
        <v>8215.8701441231642</v>
      </c>
      <c r="J33" s="5">
        <f t="shared" si="2"/>
        <v>19734.416276653556</v>
      </c>
    </row>
    <row r="34" spans="1:10" x14ac:dyDescent="0.25">
      <c r="A34">
        <f t="shared" si="11"/>
        <v>2042</v>
      </c>
      <c r="B34">
        <f t="shared" si="11"/>
        <v>22</v>
      </c>
      <c r="C34" s="87">
        <f t="shared" si="8"/>
        <v>11549.999999999998</v>
      </c>
      <c r="D34" s="87">
        <f t="shared" si="9"/>
        <v>180000</v>
      </c>
      <c r="E34" s="87">
        <f t="shared" si="10"/>
        <v>3187.8888428038158</v>
      </c>
      <c r="F34" s="45">
        <f t="shared" si="3"/>
        <v>194737.8888428038</v>
      </c>
      <c r="G34" s="57">
        <v>0.2</v>
      </c>
      <c r="H34" s="5">
        <f t="shared" si="0"/>
        <v>38947.577768560761</v>
      </c>
      <c r="I34" s="5">
        <f t="shared" si="1"/>
        <v>7678.3833122646383</v>
      </c>
      <c r="J34" s="5">
        <f t="shared" si="2"/>
        <v>19159.627453061708</v>
      </c>
    </row>
    <row r="35" spans="1:10" x14ac:dyDescent="0.25">
      <c r="A35">
        <f t="shared" si="11"/>
        <v>2043</v>
      </c>
      <c r="B35">
        <f t="shared" si="11"/>
        <v>23</v>
      </c>
      <c r="C35" s="87">
        <f t="shared" si="8"/>
        <v>11549.999999999998</v>
      </c>
      <c r="D35" s="87">
        <f t="shared" si="9"/>
        <v>180000</v>
      </c>
      <c r="E35" s="87">
        <f t="shared" si="10"/>
        <v>3187.8888428038158</v>
      </c>
      <c r="F35" s="45">
        <f t="shared" si="3"/>
        <v>194737.8888428038</v>
      </c>
      <c r="G35" s="57">
        <v>0.2</v>
      </c>
      <c r="H35" s="5">
        <f t="shared" si="0"/>
        <v>38947.577768560761</v>
      </c>
      <c r="I35" s="5">
        <f t="shared" si="1"/>
        <v>7176.0591703407836</v>
      </c>
      <c r="J35" s="5">
        <f t="shared" si="2"/>
        <v>18601.580051516223</v>
      </c>
    </row>
    <row r="36" spans="1:10" x14ac:dyDescent="0.25">
      <c r="A36">
        <f t="shared" si="11"/>
        <v>2044</v>
      </c>
      <c r="B36">
        <f t="shared" si="11"/>
        <v>24</v>
      </c>
      <c r="C36" s="87">
        <f t="shared" si="8"/>
        <v>11549.999999999998</v>
      </c>
      <c r="D36" s="87">
        <f t="shared" si="9"/>
        <v>180000</v>
      </c>
      <c r="E36" s="87">
        <f t="shared" si="10"/>
        <v>3187.8888428038158</v>
      </c>
      <c r="F36" s="45">
        <f t="shared" si="3"/>
        <v>194737.8888428038</v>
      </c>
      <c r="G36" s="57">
        <v>0.2</v>
      </c>
      <c r="H36" s="5">
        <f t="shared" si="0"/>
        <v>38947.577768560761</v>
      </c>
      <c r="I36" s="5">
        <f t="shared" si="1"/>
        <v>6706.5973554586762</v>
      </c>
      <c r="J36" s="5">
        <f t="shared" si="2"/>
        <v>18059.786457782739</v>
      </c>
    </row>
    <row r="37" spans="1:10" x14ac:dyDescent="0.25">
      <c r="A37">
        <f t="shared" si="11"/>
        <v>2045</v>
      </c>
      <c r="B37">
        <f t="shared" si="11"/>
        <v>25</v>
      </c>
      <c r="C37" s="87">
        <f t="shared" si="8"/>
        <v>11549.999999999998</v>
      </c>
      <c r="D37" s="87">
        <f t="shared" si="9"/>
        <v>180000</v>
      </c>
      <c r="E37" s="87">
        <f t="shared" si="10"/>
        <v>3187.8888428038158</v>
      </c>
      <c r="F37" s="45">
        <f t="shared" si="3"/>
        <v>194737.8888428038</v>
      </c>
      <c r="G37" s="57">
        <v>0.2</v>
      </c>
      <c r="H37" s="5">
        <f t="shared" si="0"/>
        <v>38947.577768560761</v>
      </c>
      <c r="I37" s="5">
        <f t="shared" si="1"/>
        <v>6267.8479957557711</v>
      </c>
      <c r="J37" s="5">
        <f t="shared" si="2"/>
        <v>17533.773259983242</v>
      </c>
    </row>
    <row r="38" spans="1:10" x14ac:dyDescent="0.25">
      <c r="A38">
        <f t="shared" si="11"/>
        <v>2046</v>
      </c>
      <c r="B38">
        <f t="shared" si="11"/>
        <v>26</v>
      </c>
      <c r="C38" s="87">
        <f t="shared" si="8"/>
        <v>11549.999999999998</v>
      </c>
      <c r="D38" s="87">
        <f t="shared" si="9"/>
        <v>180000</v>
      </c>
      <c r="E38" s="87">
        <f t="shared" si="10"/>
        <v>3187.8888428038158</v>
      </c>
      <c r="F38" s="45">
        <f t="shared" si="3"/>
        <v>194737.8888428038</v>
      </c>
      <c r="G38" s="57">
        <v>0.2</v>
      </c>
      <c r="H38" s="5">
        <f t="shared" si="0"/>
        <v>38947.577768560761</v>
      </c>
      <c r="I38" s="5">
        <f t="shared" si="1"/>
        <v>5857.8018651923103</v>
      </c>
      <c r="J38" s="5">
        <f t="shared" si="2"/>
        <v>17023.080834935186</v>
      </c>
    </row>
    <row r="39" spans="1:10" x14ac:dyDescent="0.25">
      <c r="A39">
        <f t="shared" si="11"/>
        <v>2047</v>
      </c>
      <c r="B39">
        <f t="shared" si="11"/>
        <v>27</v>
      </c>
      <c r="C39" s="87">
        <f t="shared" si="8"/>
        <v>11549.999999999998</v>
      </c>
      <c r="D39" s="87">
        <f t="shared" si="9"/>
        <v>180000</v>
      </c>
      <c r="E39" s="87">
        <f t="shared" si="10"/>
        <v>3187.8888428038158</v>
      </c>
      <c r="F39" s="45">
        <f t="shared" si="3"/>
        <v>194737.8888428038</v>
      </c>
      <c r="G39" s="57">
        <v>0.2</v>
      </c>
      <c r="H39" s="5">
        <f t="shared" si="0"/>
        <v>38947.577768560761</v>
      </c>
      <c r="I39" s="5">
        <f t="shared" si="1"/>
        <v>5474.5811824227203</v>
      </c>
      <c r="J39" s="5">
        <f t="shared" si="2"/>
        <v>16527.262946539016</v>
      </c>
    </row>
    <row r="40" spans="1:10" x14ac:dyDescent="0.25">
      <c r="A40">
        <f t="shared" si="11"/>
        <v>2048</v>
      </c>
      <c r="B40">
        <f t="shared" si="11"/>
        <v>28</v>
      </c>
      <c r="C40" s="87">
        <f t="shared" si="8"/>
        <v>11549.999999999998</v>
      </c>
      <c r="D40" s="87">
        <f t="shared" si="9"/>
        <v>180000</v>
      </c>
      <c r="E40" s="87">
        <f t="shared" si="10"/>
        <v>3187.8888428038158</v>
      </c>
      <c r="F40" s="45">
        <f t="shared" si="3"/>
        <v>194737.8888428038</v>
      </c>
      <c r="G40" s="57">
        <v>0.2</v>
      </c>
      <c r="H40" s="5">
        <f t="shared" si="0"/>
        <v>38947.577768560761</v>
      </c>
      <c r="I40" s="5">
        <f t="shared" si="1"/>
        <v>5116.4310116100187</v>
      </c>
      <c r="J40" s="5">
        <f t="shared" si="2"/>
        <v>16045.886355863124</v>
      </c>
    </row>
    <row r="41" spans="1:10" x14ac:dyDescent="0.25">
      <c r="A41">
        <f t="shared" si="11"/>
        <v>2049</v>
      </c>
      <c r="B41">
        <f t="shared" si="11"/>
        <v>29</v>
      </c>
      <c r="C41" s="87">
        <f t="shared" si="8"/>
        <v>11549.999999999998</v>
      </c>
      <c r="D41" s="87">
        <f t="shared" si="9"/>
        <v>180000</v>
      </c>
      <c r="E41" s="87">
        <f t="shared" si="10"/>
        <v>3187.8888428038158</v>
      </c>
      <c r="F41" s="45">
        <f t="shared" si="3"/>
        <v>194737.8888428038</v>
      </c>
      <c r="G41" s="57">
        <v>0.2</v>
      </c>
      <c r="H41" s="5">
        <f t="shared" ref="H41" si="12">+G41*F41</f>
        <v>38947.577768560761</v>
      </c>
      <c r="I41" s="5">
        <f t="shared" ref="I41" si="13">H41/(1.07^(A41-2018))</f>
        <v>4781.711225803755</v>
      </c>
      <c r="J41" s="5">
        <f t="shared" ref="J41" si="14">H41/(1.03^(A41-2018))</f>
        <v>15578.530442585556</v>
      </c>
    </row>
    <row r="42" spans="1:10" x14ac:dyDescent="0.25">
      <c r="A42">
        <f t="shared" si="11"/>
        <v>2050</v>
      </c>
      <c r="B42">
        <f t="shared" si="11"/>
        <v>30</v>
      </c>
      <c r="C42" s="87">
        <f t="shared" si="8"/>
        <v>11549.999999999998</v>
      </c>
      <c r="D42" s="87">
        <f t="shared" si="9"/>
        <v>180000</v>
      </c>
      <c r="E42" s="87">
        <f t="shared" si="10"/>
        <v>3187.8888428038158</v>
      </c>
      <c r="F42" s="45">
        <f t="shared" ref="F42" si="15">SUM(C42:E42)</f>
        <v>194737.8888428038</v>
      </c>
      <c r="G42" s="57">
        <v>0.2</v>
      </c>
      <c r="H42" s="5">
        <f t="shared" ref="H42" si="16">+G42*F42</f>
        <v>38947.577768560761</v>
      </c>
      <c r="I42" s="5">
        <f t="shared" ref="I42" si="17">H42/(1.07^(A42-2018))</f>
        <v>4468.8889960782763</v>
      </c>
      <c r="J42" s="5">
        <f t="shared" ref="J42" si="18">H42/(1.03^(A42-2018))</f>
        <v>15124.786837461706</v>
      </c>
    </row>
    <row r="43" spans="1:10" x14ac:dyDescent="0.25">
      <c r="A43" s="1" t="s">
        <v>23</v>
      </c>
      <c r="H43" s="11">
        <f>SUM(H10:H42)</f>
        <v>1149272.3330568222</v>
      </c>
      <c r="I43" s="11">
        <f>SUM(I10:I42)</f>
        <v>406498.58273123339</v>
      </c>
      <c r="J43" s="11">
        <f>SUM(J10:J42)</f>
        <v>702038.48277683824</v>
      </c>
    </row>
    <row r="44" spans="1:10" x14ac:dyDescent="0.25">
      <c r="A44" s="1"/>
      <c r="H44" s="11"/>
      <c r="I44" s="11"/>
      <c r="J44" s="11"/>
    </row>
    <row r="45" spans="1:10" x14ac:dyDescent="0.25">
      <c r="A45" s="1"/>
      <c r="H45" s="11"/>
      <c r="I45" s="11"/>
      <c r="J45" s="11"/>
    </row>
    <row r="46" spans="1:10" ht="15.75" x14ac:dyDescent="0.25">
      <c r="A46" s="164" t="s">
        <v>206</v>
      </c>
      <c r="B46" s="55"/>
      <c r="C46" s="55"/>
      <c r="D46" s="165"/>
      <c r="E46" s="55"/>
      <c r="F46" s="55"/>
      <c r="G46" s="55"/>
      <c r="H46" s="55"/>
      <c r="I46" s="55"/>
    </row>
    <row r="47" spans="1:10" x14ac:dyDescent="0.25">
      <c r="A47" s="55" t="s">
        <v>324</v>
      </c>
      <c r="B47" s="55"/>
      <c r="C47" s="55"/>
      <c r="D47" s="165"/>
      <c r="E47" s="165">
        <v>500</v>
      </c>
      <c r="F47" s="55" t="s">
        <v>327</v>
      </c>
      <c r="G47" s="55"/>
      <c r="H47" s="55"/>
      <c r="I47" s="55"/>
    </row>
    <row r="48" spans="1:10" x14ac:dyDescent="0.25">
      <c r="A48" s="55" t="s">
        <v>325</v>
      </c>
      <c r="B48" s="55"/>
      <c r="C48" s="55"/>
      <c r="D48" s="165"/>
      <c r="E48" s="167">
        <v>200</v>
      </c>
      <c r="F48" s="55" t="s">
        <v>327</v>
      </c>
      <c r="G48" s="55"/>
      <c r="H48" s="55"/>
      <c r="I48" s="55"/>
    </row>
    <row r="49" spans="1:9" x14ac:dyDescent="0.25">
      <c r="A49" s="55" t="s">
        <v>131</v>
      </c>
      <c r="B49" s="55"/>
      <c r="C49" s="55"/>
      <c r="D49" s="166">
        <v>300000</v>
      </c>
      <c r="E49" s="55" t="s">
        <v>132</v>
      </c>
      <c r="F49" s="55"/>
      <c r="G49" s="55"/>
      <c r="H49" s="55"/>
      <c r="I49" s="55"/>
    </row>
    <row r="50" spans="1:9" x14ac:dyDescent="0.25">
      <c r="A50" s="55" t="s">
        <v>133</v>
      </c>
      <c r="B50" s="55"/>
      <c r="C50" s="55"/>
      <c r="D50" s="166">
        <v>1000000</v>
      </c>
      <c r="E50" s="55"/>
      <c r="F50" s="55"/>
      <c r="G50" s="55"/>
      <c r="H50" s="55"/>
      <c r="I50" s="55"/>
    </row>
    <row r="51" spans="1:9" x14ac:dyDescent="0.25">
      <c r="A51" s="55"/>
      <c r="B51" s="55"/>
      <c r="C51" s="55"/>
      <c r="D51" s="55"/>
      <c r="E51" s="166"/>
      <c r="F51" s="55"/>
      <c r="G51" s="55"/>
      <c r="H51" s="55"/>
      <c r="I51" s="55"/>
    </row>
    <row r="53" spans="1:9" x14ac:dyDescent="0.25">
      <c r="A53" s="1" t="s">
        <v>134</v>
      </c>
    </row>
    <row r="55" spans="1:9" x14ac:dyDescent="0.25">
      <c r="A55" t="s">
        <v>207</v>
      </c>
      <c r="D55" t="s">
        <v>139</v>
      </c>
      <c r="E55" t="s">
        <v>140</v>
      </c>
    </row>
    <row r="56" spans="1:9" x14ac:dyDescent="0.25">
      <c r="B56" t="s">
        <v>208</v>
      </c>
      <c r="D56" s="75">
        <f>825/1985</f>
        <v>0.41561712846347609</v>
      </c>
      <c r="E56" s="75">
        <f>7014/132605</f>
        <v>5.2893933109611255E-2</v>
      </c>
    </row>
    <row r="57" spans="1:9" x14ac:dyDescent="0.25">
      <c r="B57" t="s">
        <v>135</v>
      </c>
      <c r="D57" s="85">
        <f>8/1985</f>
        <v>4.0302267002518891E-3</v>
      </c>
      <c r="E57" s="86">
        <f>427/132605</f>
        <v>3.2200897402058747E-3</v>
      </c>
    </row>
    <row r="58" spans="1:9" x14ac:dyDescent="0.25">
      <c r="B58" t="s">
        <v>137</v>
      </c>
      <c r="D58" s="75">
        <f>236/1985</f>
        <v>0.11889168765743073</v>
      </c>
      <c r="E58" s="75">
        <f>12822/132605</f>
        <v>9.669318653142793E-2</v>
      </c>
    </row>
    <row r="59" spans="1:9" x14ac:dyDescent="0.25">
      <c r="B59" t="s">
        <v>136</v>
      </c>
      <c r="D59" s="75">
        <f>38/1985</f>
        <v>1.9143576826196475E-2</v>
      </c>
      <c r="E59" s="75">
        <f>4773/132605</f>
        <v>3.5994117868858637E-2</v>
      </c>
    </row>
    <row r="60" spans="1:9" x14ac:dyDescent="0.25">
      <c r="D60" s="75"/>
      <c r="E60" s="75"/>
    </row>
    <row r="61" spans="1:9" x14ac:dyDescent="0.25">
      <c r="A61" t="s">
        <v>210</v>
      </c>
      <c r="D61" s="75"/>
      <c r="E61" s="75"/>
    </row>
    <row r="62" spans="1:9" x14ac:dyDescent="0.25">
      <c r="B62" t="s">
        <v>209</v>
      </c>
      <c r="D62" s="74">
        <v>0.29924692826000793</v>
      </c>
      <c r="E62" s="75">
        <f>29422/133420</f>
        <v>0.22052166092040174</v>
      </c>
    </row>
    <row r="63" spans="1:9" x14ac:dyDescent="0.25">
      <c r="B63" t="s">
        <v>138</v>
      </c>
      <c r="D63" s="74">
        <f>980/2523</f>
        <v>0.38842647641696393</v>
      </c>
      <c r="E63" s="75">
        <f>56613/133420</f>
        <v>0.42432169090091443</v>
      </c>
    </row>
    <row r="65" spans="1:7" x14ac:dyDescent="0.25">
      <c r="A65" s="1" t="s">
        <v>211</v>
      </c>
    </row>
    <row r="66" spans="1:7" x14ac:dyDescent="0.25">
      <c r="C66" s="44"/>
    </row>
    <row r="67" spans="1:7" x14ac:dyDescent="0.25">
      <c r="B67" t="s">
        <v>141</v>
      </c>
      <c r="C67" s="102">
        <v>200</v>
      </c>
      <c r="D67" t="s">
        <v>142</v>
      </c>
    </row>
    <row r="68" spans="1:7" x14ac:dyDescent="0.25">
      <c r="B68" t="s">
        <v>146</v>
      </c>
      <c r="C68" s="139">
        <f>ROUND(C$67*D68,0)</f>
        <v>1</v>
      </c>
      <c r="D68" s="84">
        <f>+D57</f>
        <v>4.0302267002518891E-3</v>
      </c>
      <c r="E68" t="s">
        <v>144</v>
      </c>
    </row>
    <row r="69" spans="1:7" x14ac:dyDescent="0.25">
      <c r="C69" s="139"/>
      <c r="D69" s="76"/>
    </row>
    <row r="70" spans="1:7" x14ac:dyDescent="0.25">
      <c r="C70" s="44"/>
    </row>
    <row r="71" spans="1:7" x14ac:dyDescent="0.25">
      <c r="B71" t="s">
        <v>141</v>
      </c>
      <c r="C71" s="44">
        <v>500</v>
      </c>
      <c r="D71" t="s">
        <v>147</v>
      </c>
    </row>
    <row r="72" spans="1:7" x14ac:dyDescent="0.25">
      <c r="B72" t="s">
        <v>146</v>
      </c>
      <c r="C72" s="139">
        <f>ROUND(C$71*D72,0)</f>
        <v>6</v>
      </c>
      <c r="D72" s="83">
        <f>+E57*4</f>
        <v>1.2880358960823499E-2</v>
      </c>
      <c r="E72" t="s">
        <v>144</v>
      </c>
      <c r="F72" t="s">
        <v>343</v>
      </c>
    </row>
    <row r="73" spans="1:7" x14ac:dyDescent="0.25">
      <c r="C73" s="77"/>
      <c r="D73" s="76"/>
    </row>
    <row r="74" spans="1:7" x14ac:dyDescent="0.25">
      <c r="A74" s="1" t="s">
        <v>189</v>
      </c>
    </row>
    <row r="75" spans="1:7" x14ac:dyDescent="0.25">
      <c r="B75" s="1" t="s">
        <v>190</v>
      </c>
      <c r="E75" s="44">
        <v>3.3</v>
      </c>
      <c r="F75" s="44" t="s">
        <v>152</v>
      </c>
      <c r="G75" s="123" t="s">
        <v>215</v>
      </c>
    </row>
    <row r="76" spans="1:7" x14ac:dyDescent="0.25">
      <c r="B76" s="1" t="s">
        <v>332</v>
      </c>
      <c r="E76" s="77">
        <f>+C68+C72</f>
        <v>7</v>
      </c>
      <c r="F76" t="s">
        <v>179</v>
      </c>
    </row>
    <row r="77" spans="1:7" x14ac:dyDescent="0.25">
      <c r="B77" s="1" t="s">
        <v>163</v>
      </c>
      <c r="E77" s="124">
        <f>+E76*E75*2</f>
        <v>46.199999999999996</v>
      </c>
      <c r="F77" t="s">
        <v>164</v>
      </c>
    </row>
    <row r="78" spans="1:7" x14ac:dyDescent="0.25">
      <c r="B78" s="1" t="s">
        <v>165</v>
      </c>
      <c r="E78" s="81">
        <f>+E77*250</f>
        <v>11549.999999999998</v>
      </c>
      <c r="F78" s="1" t="s">
        <v>151</v>
      </c>
    </row>
    <row r="81" spans="1:7" x14ac:dyDescent="0.25">
      <c r="A81" s="1" t="s">
        <v>184</v>
      </c>
    </row>
    <row r="82" spans="1:7" x14ac:dyDescent="0.25">
      <c r="B82" t="s">
        <v>185</v>
      </c>
      <c r="D82" s="44">
        <v>6</v>
      </c>
      <c r="E82" s="44" t="s">
        <v>152</v>
      </c>
      <c r="F82" s="44" t="s">
        <v>223</v>
      </c>
    </row>
    <row r="83" spans="1:7" x14ac:dyDescent="0.25">
      <c r="B83" t="s">
        <v>192</v>
      </c>
      <c r="D83" s="112">
        <f>0.1*D50</f>
        <v>100000</v>
      </c>
      <c r="E83" s="111" t="s">
        <v>344</v>
      </c>
      <c r="G83" s="111"/>
    </row>
    <row r="84" spans="1:7" x14ac:dyDescent="0.25">
      <c r="B84" t="s">
        <v>216</v>
      </c>
      <c r="D84" s="67">
        <v>0.3</v>
      </c>
      <c r="E84" s="113" t="s">
        <v>267</v>
      </c>
    </row>
    <row r="85" spans="1:7" x14ac:dyDescent="0.25">
      <c r="B85" s="1" t="s">
        <v>186</v>
      </c>
      <c r="C85" s="1"/>
      <c r="D85" s="79">
        <f>+D84*D83*D82</f>
        <v>180000</v>
      </c>
    </row>
    <row r="86" spans="1:7" x14ac:dyDescent="0.25">
      <c r="A86" s="1"/>
    </row>
    <row r="88" spans="1:7" x14ac:dyDescent="0.25">
      <c r="E88" s="44"/>
      <c r="F88" s="44"/>
      <c r="G88" s="44"/>
    </row>
    <row r="89" spans="1:7" x14ac:dyDescent="0.25">
      <c r="A89" s="1" t="s">
        <v>187</v>
      </c>
      <c r="E89" s="44"/>
      <c r="F89" s="44"/>
      <c r="G89" s="44"/>
    </row>
    <row r="90" spans="1:7" x14ac:dyDescent="0.25">
      <c r="C90" t="s">
        <v>191</v>
      </c>
      <c r="E90" s="44">
        <v>3.3</v>
      </c>
      <c r="F90" s="44" t="s">
        <v>220</v>
      </c>
      <c r="G90" s="44"/>
    </row>
    <row r="91" spans="1:7" x14ac:dyDescent="0.25">
      <c r="C91" t="s">
        <v>154</v>
      </c>
      <c r="E91" s="78">
        <v>300000</v>
      </c>
      <c r="F91" t="s">
        <v>172</v>
      </c>
    </row>
    <row r="92" spans="1:7" x14ac:dyDescent="0.25">
      <c r="C92" t="s">
        <v>188</v>
      </c>
      <c r="E92" s="83">
        <f>+E57</f>
        <v>3.2200897402058747E-3</v>
      </c>
    </row>
    <row r="93" spans="1:7" x14ac:dyDescent="0.25">
      <c r="C93" s="1" t="s">
        <v>186</v>
      </c>
      <c r="D93" s="1"/>
      <c r="E93" s="82">
        <f>+E90*E91*E92</f>
        <v>3187.8888428038158</v>
      </c>
    </row>
    <row r="94" spans="1:7" x14ac:dyDescent="0.25">
      <c r="C94" s="1"/>
      <c r="D94" s="1"/>
    </row>
    <row r="95" spans="1:7" x14ac:dyDescent="0.25">
      <c r="A95" s="110" t="s">
        <v>217</v>
      </c>
      <c r="B95" s="111" t="s">
        <v>218</v>
      </c>
      <c r="C95" s="1"/>
      <c r="D95" s="1"/>
    </row>
    <row r="96" spans="1:7" x14ac:dyDescent="0.25">
      <c r="A96" s="110"/>
      <c r="B96" s="111" t="s">
        <v>219</v>
      </c>
      <c r="C96" s="1"/>
      <c r="D96" s="1"/>
    </row>
    <row r="97" spans="3:4" x14ac:dyDescent="0.25">
      <c r="C97" s="1"/>
      <c r="D97" s="1"/>
    </row>
    <row r="98" spans="3:4" x14ac:dyDescent="0.25">
      <c r="D98" s="1"/>
    </row>
  </sheetData>
  <mergeCells count="1">
    <mergeCell ref="H8:J8"/>
  </mergeCells>
  <pageMargins left="0.7" right="0.7" top="0.75" bottom="0.75" header="0.3" footer="0.3"/>
  <pageSetup scale="64" fitToHeight="0" orientation="portrait" r:id="rId1"/>
  <headerFooter>
    <oddFooter>&amp;LPage &amp;P of &amp;N&amp;R&amp;F - 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abSelected="1" workbookViewId="0"/>
  </sheetViews>
  <sheetFormatPr defaultRowHeight="15" x14ac:dyDescent="0.25"/>
  <cols>
    <col min="1" max="1" width="4.85546875" customWidth="1"/>
    <col min="7" max="7" width="9.140625" bestFit="1" customWidth="1"/>
    <col min="8" max="8" width="10.5703125" bestFit="1" customWidth="1"/>
  </cols>
  <sheetData>
    <row r="1" spans="1:2" ht="18.75" x14ac:dyDescent="0.3">
      <c r="A1" s="2" t="s">
        <v>333</v>
      </c>
    </row>
    <row r="2" spans="1:2" ht="18.75" x14ac:dyDescent="0.3">
      <c r="A2" s="235" t="s">
        <v>353</v>
      </c>
    </row>
    <row r="3" spans="1:2" ht="18.75" x14ac:dyDescent="0.3">
      <c r="A3" s="2"/>
    </row>
    <row r="5" spans="1:2" x14ac:dyDescent="0.25">
      <c r="A5" t="s">
        <v>268</v>
      </c>
    </row>
    <row r="6" spans="1:2" x14ac:dyDescent="0.25">
      <c r="A6" t="s">
        <v>224</v>
      </c>
    </row>
    <row r="7" spans="1:2" x14ac:dyDescent="0.25">
      <c r="A7" t="s">
        <v>328</v>
      </c>
    </row>
    <row r="8" spans="1:2" x14ac:dyDescent="0.25">
      <c r="B8" t="s">
        <v>329</v>
      </c>
    </row>
    <row r="9" spans="1:2" x14ac:dyDescent="0.25">
      <c r="B9" t="s">
        <v>330</v>
      </c>
    </row>
    <row r="10" spans="1:2" x14ac:dyDescent="0.25">
      <c r="B10" t="s">
        <v>225</v>
      </c>
    </row>
    <row r="11" spans="1:2" x14ac:dyDescent="0.25">
      <c r="B11" t="s">
        <v>226</v>
      </c>
    </row>
    <row r="13" spans="1:2" x14ac:dyDescent="0.25">
      <c r="A13" s="1" t="s">
        <v>233</v>
      </c>
    </row>
    <row r="14" spans="1:2" x14ac:dyDescent="0.25">
      <c r="A14" s="1"/>
      <c r="B14" s="1" t="s">
        <v>310</v>
      </c>
    </row>
    <row r="15" spans="1:2" x14ac:dyDescent="0.25">
      <c r="B15" t="s">
        <v>271</v>
      </c>
    </row>
    <row r="16" spans="1:2" x14ac:dyDescent="0.25">
      <c r="B16" t="s">
        <v>347</v>
      </c>
    </row>
    <row r="18" spans="1:19" x14ac:dyDescent="0.25">
      <c r="B18" s="232" t="s">
        <v>350</v>
      </c>
    </row>
    <row r="19" spans="1:19" x14ac:dyDescent="0.25">
      <c r="B19" s="231" t="s">
        <v>348</v>
      </c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11"/>
    </row>
    <row r="20" spans="1:19" x14ac:dyDescent="0.25">
      <c r="B20" s="231" t="s">
        <v>351</v>
      </c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</row>
    <row r="21" spans="1:19" x14ac:dyDescent="0.25">
      <c r="B21" s="231" t="s">
        <v>231</v>
      </c>
      <c r="C21" s="211"/>
      <c r="D21" s="211">
        <v>80</v>
      </c>
      <c r="E21" s="211" t="s">
        <v>232</v>
      </c>
      <c r="F21" s="211"/>
      <c r="G21" s="211"/>
      <c r="H21" s="212">
        <f>+D21*250</f>
        <v>20000</v>
      </c>
      <c r="I21" s="211" t="s">
        <v>230</v>
      </c>
      <c r="J21" s="211"/>
      <c r="K21" s="211"/>
      <c r="L21" s="211"/>
      <c r="M21" s="211"/>
      <c r="N21" s="211"/>
      <c r="O21" s="211"/>
      <c r="P21" s="211"/>
      <c r="Q21" s="211"/>
      <c r="R21" s="211"/>
      <c r="S21" s="211"/>
    </row>
    <row r="22" spans="1:19" x14ac:dyDescent="0.25">
      <c r="B22" s="231" t="s">
        <v>349</v>
      </c>
      <c r="C22" s="211"/>
      <c r="D22" s="211"/>
      <c r="E22" s="211"/>
      <c r="F22" s="211"/>
      <c r="G22" s="211"/>
      <c r="H22" s="211"/>
      <c r="I22" s="211"/>
      <c r="J22" s="211"/>
      <c r="K22" s="211">
        <f>229+511</f>
        <v>740</v>
      </c>
      <c r="L22" s="211"/>
      <c r="M22" s="211"/>
      <c r="N22" s="211"/>
      <c r="O22" s="211"/>
      <c r="P22" s="211"/>
      <c r="Q22" s="211"/>
      <c r="R22" s="211"/>
      <c r="S22" s="211"/>
    </row>
    <row r="23" spans="1:19" x14ac:dyDescent="0.25">
      <c r="B23" s="231" t="s">
        <v>227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</row>
    <row r="24" spans="1:19" x14ac:dyDescent="0.25">
      <c r="B24" s="231" t="s">
        <v>228</v>
      </c>
      <c r="C24" s="211"/>
      <c r="D24" s="211">
        <f>0.2*740</f>
        <v>148</v>
      </c>
      <c r="E24" s="211" t="s">
        <v>229</v>
      </c>
      <c r="F24" s="211"/>
      <c r="G24" s="211"/>
      <c r="H24" s="212">
        <f>148*52</f>
        <v>7696</v>
      </c>
      <c r="I24" s="211" t="s">
        <v>230</v>
      </c>
      <c r="J24" s="211"/>
      <c r="K24" s="211"/>
      <c r="L24" s="211"/>
      <c r="M24" s="211"/>
      <c r="N24" s="211"/>
      <c r="O24" s="211"/>
      <c r="P24" s="211"/>
      <c r="Q24" s="211"/>
      <c r="R24" s="211"/>
      <c r="S24" s="211"/>
    </row>
    <row r="25" spans="1:19" x14ac:dyDescent="0.25">
      <c r="B25" s="23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</row>
    <row r="26" spans="1:19" x14ac:dyDescent="0.25">
      <c r="B26" s="231" t="s">
        <v>269</v>
      </c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</row>
    <row r="28" spans="1:19" x14ac:dyDescent="0.25">
      <c r="A28" s="1" t="s">
        <v>272</v>
      </c>
    </row>
    <row r="29" spans="1:19" x14ac:dyDescent="0.25">
      <c r="B29" t="s">
        <v>273</v>
      </c>
    </row>
    <row r="30" spans="1:19" x14ac:dyDescent="0.25">
      <c r="B30" t="s">
        <v>234</v>
      </c>
    </row>
    <row r="31" spans="1:19" x14ac:dyDescent="0.25">
      <c r="C31" t="s">
        <v>270</v>
      </c>
    </row>
    <row r="32" spans="1:19" x14ac:dyDescent="0.25">
      <c r="C32" t="s">
        <v>235</v>
      </c>
    </row>
    <row r="34" spans="2:14" x14ac:dyDescent="0.25">
      <c r="B34" t="s">
        <v>352</v>
      </c>
    </row>
    <row r="35" spans="2:14" x14ac:dyDescent="0.25">
      <c r="B35">
        <v>2021</v>
      </c>
      <c r="C35" s="135">
        <v>0.5</v>
      </c>
      <c r="D35" t="s">
        <v>236</v>
      </c>
      <c r="E35">
        <v>10</v>
      </c>
      <c r="F35" t="s">
        <v>237</v>
      </c>
      <c r="G35">
        <f>+C35*E35</f>
        <v>5</v>
      </c>
      <c r="H35" t="s">
        <v>238</v>
      </c>
      <c r="I35" t="s">
        <v>241</v>
      </c>
    </row>
    <row r="36" spans="2:14" x14ac:dyDescent="0.25">
      <c r="B36">
        <v>2050</v>
      </c>
      <c r="C36" s="135">
        <v>0.5</v>
      </c>
      <c r="D36" t="s">
        <v>236</v>
      </c>
      <c r="E36">
        <v>130</v>
      </c>
      <c r="F36" t="s">
        <v>237</v>
      </c>
      <c r="G36">
        <f>+C36*E36</f>
        <v>65</v>
      </c>
      <c r="H36" t="s">
        <v>238</v>
      </c>
      <c r="I36" t="s">
        <v>242</v>
      </c>
    </row>
    <row r="38" spans="2:14" x14ac:dyDescent="0.25">
      <c r="B38" s="231" t="s">
        <v>234</v>
      </c>
      <c r="C38" s="231"/>
      <c r="D38" s="231"/>
      <c r="E38" s="231"/>
      <c r="F38" s="211"/>
      <c r="G38" s="211"/>
      <c r="H38" s="211"/>
      <c r="I38" s="211"/>
      <c r="J38" s="211"/>
      <c r="K38" s="211"/>
      <c r="L38" s="211"/>
      <c r="M38" s="211"/>
      <c r="N38" s="211"/>
    </row>
    <row r="39" spans="2:14" x14ac:dyDescent="0.25">
      <c r="B39" s="231"/>
      <c r="C39" s="231" t="s">
        <v>275</v>
      </c>
      <c r="D39" s="231"/>
      <c r="E39" s="231"/>
      <c r="F39" s="211"/>
      <c r="G39" s="211"/>
      <c r="H39" s="211"/>
      <c r="I39" s="211"/>
      <c r="J39" s="211"/>
      <c r="K39" s="211"/>
      <c r="L39" s="211"/>
      <c r="M39" s="211"/>
      <c r="N39" s="211"/>
    </row>
    <row r="41" spans="2:14" x14ac:dyDescent="0.25">
      <c r="B41" t="s">
        <v>239</v>
      </c>
      <c r="C41" t="s">
        <v>240</v>
      </c>
    </row>
    <row r="42" spans="2:14" x14ac:dyDescent="0.25">
      <c r="C42" s="135">
        <v>0.2</v>
      </c>
      <c r="D42" t="s">
        <v>236</v>
      </c>
      <c r="E42">
        <v>10</v>
      </c>
      <c r="F42" t="s">
        <v>237</v>
      </c>
      <c r="G42">
        <f>+C42*E42</f>
        <v>2</v>
      </c>
      <c r="H42" t="s">
        <v>238</v>
      </c>
      <c r="I42" t="s">
        <v>243</v>
      </c>
    </row>
    <row r="43" spans="2:14" x14ac:dyDescent="0.25">
      <c r="C43" s="135">
        <v>0.2</v>
      </c>
      <c r="D43" t="s">
        <v>236</v>
      </c>
      <c r="E43">
        <v>130</v>
      </c>
      <c r="F43" t="s">
        <v>237</v>
      </c>
      <c r="G43">
        <f>+C43*E43</f>
        <v>26</v>
      </c>
      <c r="H43" t="s">
        <v>238</v>
      </c>
      <c r="I43" t="s">
        <v>274</v>
      </c>
    </row>
    <row r="44" spans="2:14" x14ac:dyDescent="0.25">
      <c r="B44" s="231" t="s">
        <v>276</v>
      </c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</row>
    <row r="46" spans="2:14" x14ac:dyDescent="0.25">
      <c r="B46" t="s">
        <v>244</v>
      </c>
    </row>
    <row r="48" spans="2:14" x14ac:dyDescent="0.25">
      <c r="G48">
        <v>2021</v>
      </c>
      <c r="H48">
        <v>2050</v>
      </c>
    </row>
    <row r="49" spans="2:9" x14ac:dyDescent="0.25">
      <c r="B49" t="s">
        <v>245</v>
      </c>
      <c r="G49">
        <v>10</v>
      </c>
      <c r="H49">
        <v>130</v>
      </c>
    </row>
    <row r="50" spans="2:9" x14ac:dyDescent="0.25">
      <c r="B50" t="s">
        <v>246</v>
      </c>
    </row>
    <row r="51" spans="2:9" x14ac:dyDescent="0.25">
      <c r="B51" t="s">
        <v>247</v>
      </c>
    </row>
    <row r="52" spans="2:9" x14ac:dyDescent="0.25">
      <c r="E52" t="s">
        <v>248</v>
      </c>
      <c r="F52" s="135">
        <v>0.5</v>
      </c>
      <c r="G52">
        <f>+G49*F52</f>
        <v>5</v>
      </c>
      <c r="H52">
        <f>+H49*F52</f>
        <v>65</v>
      </c>
    </row>
    <row r="53" spans="2:9" x14ac:dyDescent="0.25">
      <c r="E53" t="s">
        <v>249</v>
      </c>
      <c r="F53" s="135">
        <v>0.2</v>
      </c>
      <c r="G53">
        <f>+G49*F53</f>
        <v>2</v>
      </c>
      <c r="H53">
        <f>+H49*F53</f>
        <v>26</v>
      </c>
    </row>
    <row r="54" spans="2:9" x14ac:dyDescent="0.25">
      <c r="E54" t="s">
        <v>250</v>
      </c>
      <c r="G54" s="45">
        <f>+G52*250+G53*52</f>
        <v>1354</v>
      </c>
      <c r="H54" s="45">
        <f>+H52*250+H53*52</f>
        <v>17602</v>
      </c>
      <c r="I54" t="s">
        <v>252</v>
      </c>
    </row>
    <row r="55" spans="2:9" x14ac:dyDescent="0.25">
      <c r="B55" t="s">
        <v>251</v>
      </c>
      <c r="G55">
        <f>(0.75+0.25)/2</f>
        <v>0.5</v>
      </c>
      <c r="H55">
        <f>(0.75+0.25)/2</f>
        <v>0.5</v>
      </c>
      <c r="I55" t="s">
        <v>151</v>
      </c>
    </row>
    <row r="56" spans="2:9" x14ac:dyDescent="0.25">
      <c r="B56" t="s">
        <v>253</v>
      </c>
      <c r="G56">
        <f>+G55*2</f>
        <v>1</v>
      </c>
      <c r="H56">
        <f>+H55*2</f>
        <v>1</v>
      </c>
      <c r="I56" t="s">
        <v>151</v>
      </c>
    </row>
    <row r="57" spans="2:9" ht="18.75" x14ac:dyDescent="0.3">
      <c r="B57" s="233" t="s">
        <v>254</v>
      </c>
      <c r="C57" s="233"/>
      <c r="D57" s="233"/>
      <c r="E57" s="233"/>
      <c r="F57" s="233"/>
      <c r="G57" s="234">
        <f>+G56*G54</f>
        <v>1354</v>
      </c>
      <c r="H57" s="234">
        <f>+H56*H54</f>
        <v>17602</v>
      </c>
    </row>
  </sheetData>
  <pageMargins left="1" right="1" top="1" bottom="1" header="0.5" footer="0.5"/>
  <pageSetup scale="96" orientation="landscape" r:id="rId1"/>
  <headerFooter>
    <oddFooter>&amp;R&amp;F -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/>
  </sheetViews>
  <sheetFormatPr defaultRowHeight="15" x14ac:dyDescent="0.25"/>
  <cols>
    <col min="2" max="2" width="12.140625" customWidth="1"/>
    <col min="3" max="3" width="11.42578125" customWidth="1"/>
    <col min="4" max="4" width="10.42578125" customWidth="1"/>
    <col min="5" max="5" width="11.28515625" customWidth="1"/>
    <col min="6" max="6" width="10.85546875" customWidth="1"/>
  </cols>
  <sheetData>
    <row r="1" spans="1:9" ht="18.75" x14ac:dyDescent="0.3">
      <c r="A1" s="2" t="s">
        <v>283</v>
      </c>
    </row>
    <row r="2" spans="1:9" ht="18.75" x14ac:dyDescent="0.3">
      <c r="A2" s="2"/>
    </row>
    <row r="3" spans="1:9" ht="18.75" x14ac:dyDescent="0.3">
      <c r="A3" s="168"/>
    </row>
    <row r="4" spans="1:9" ht="18.75" x14ac:dyDescent="0.3">
      <c r="A4" s="168"/>
    </row>
    <row r="5" spans="1:9" x14ac:dyDescent="0.25">
      <c r="A5" t="s">
        <v>278</v>
      </c>
      <c r="C5" s="143">
        <v>1.7434873559401031E-3</v>
      </c>
      <c r="D5" t="s">
        <v>284</v>
      </c>
    </row>
    <row r="6" spans="1:9" x14ac:dyDescent="0.25">
      <c r="C6" s="1"/>
    </row>
    <row r="7" spans="1:9" x14ac:dyDescent="0.25">
      <c r="C7" s="142"/>
      <c r="D7" s="214" t="s">
        <v>19</v>
      </c>
      <c r="E7" s="214"/>
      <c r="F7" s="214"/>
    </row>
    <row r="8" spans="1:9" ht="45" x14ac:dyDescent="0.25">
      <c r="A8" s="6" t="s">
        <v>13</v>
      </c>
      <c r="B8" s="7" t="s">
        <v>12</v>
      </c>
      <c r="C8" s="7" t="s">
        <v>277</v>
      </c>
      <c r="D8" s="7" t="s">
        <v>279</v>
      </c>
      <c r="E8" s="7" t="s">
        <v>21</v>
      </c>
      <c r="F8" s="7" t="s">
        <v>20</v>
      </c>
    </row>
    <row r="9" spans="1:9" x14ac:dyDescent="0.25">
      <c r="A9">
        <v>2018</v>
      </c>
      <c r="C9" s="5"/>
      <c r="D9" s="146"/>
      <c r="E9" s="146">
        <f t="shared" ref="E9:E41" si="0">D9/(1.07^(A9-2018))</f>
        <v>0</v>
      </c>
      <c r="F9" s="146">
        <f t="shared" ref="F9:F41" si="1">D9/(1.03^(A9-2018))</f>
        <v>0</v>
      </c>
    </row>
    <row r="10" spans="1:9" x14ac:dyDescent="0.25">
      <c r="A10">
        <f>+A9+1</f>
        <v>2019</v>
      </c>
      <c r="C10" s="45"/>
      <c r="D10" s="146"/>
      <c r="E10" s="146">
        <f t="shared" si="0"/>
        <v>0</v>
      </c>
      <c r="F10" s="146">
        <f t="shared" si="1"/>
        <v>0</v>
      </c>
    </row>
    <row r="11" spans="1:9" x14ac:dyDescent="0.25">
      <c r="A11">
        <f t="shared" ref="A11:B26" si="2">+A10+1</f>
        <v>2020</v>
      </c>
      <c r="C11" s="45"/>
      <c r="D11" s="146"/>
      <c r="E11" s="146">
        <f t="shared" si="0"/>
        <v>0</v>
      </c>
      <c r="F11" s="146">
        <f t="shared" si="1"/>
        <v>0</v>
      </c>
    </row>
    <row r="12" spans="1:9" x14ac:dyDescent="0.25">
      <c r="A12">
        <f t="shared" si="2"/>
        <v>2021</v>
      </c>
      <c r="B12">
        <f>+B11+1</f>
        <v>1</v>
      </c>
      <c r="C12" s="45">
        <f>+'Electric P&amp;R VMT reduction'!G57</f>
        <v>1354</v>
      </c>
      <c r="D12" s="146">
        <f>+C12*$C$5</f>
        <v>2.3606818799428995</v>
      </c>
      <c r="E12" s="146">
        <f t="shared" si="0"/>
        <v>1.9270196066120939</v>
      </c>
      <c r="F12" s="146">
        <f t="shared" si="1"/>
        <v>2.1603583328158811</v>
      </c>
    </row>
    <row r="13" spans="1:9" x14ac:dyDescent="0.25">
      <c r="A13">
        <f t="shared" si="2"/>
        <v>2022</v>
      </c>
      <c r="B13">
        <f>+B12+1</f>
        <v>2</v>
      </c>
      <c r="C13" s="141">
        <f>+C12+($C$41-$C$12)/30</f>
        <v>1895.6</v>
      </c>
      <c r="D13" s="146">
        <f t="shared" ref="D13:D41" si="3">+C13*$C$5</f>
        <v>3.3049546319200593</v>
      </c>
      <c r="E13" s="146">
        <f t="shared" si="0"/>
        <v>2.5213340647261044</v>
      </c>
      <c r="F13" s="146">
        <f t="shared" si="1"/>
        <v>2.9364093844099362</v>
      </c>
      <c r="H13" s="87"/>
      <c r="I13" s="141"/>
    </row>
    <row r="14" spans="1:9" x14ac:dyDescent="0.25">
      <c r="A14">
        <f t="shared" si="2"/>
        <v>2023</v>
      </c>
      <c r="B14">
        <f>+B13+1</f>
        <v>3</v>
      </c>
      <c r="C14" s="141">
        <f>+C13+($C$41-$C$12)/30</f>
        <v>2437.1999999999998</v>
      </c>
      <c r="D14" s="146">
        <f t="shared" si="3"/>
        <v>4.2492273838972192</v>
      </c>
      <c r="E14" s="146">
        <f t="shared" si="0"/>
        <v>3.0296403982022611</v>
      </c>
      <c r="F14" s="146">
        <f t="shared" si="1"/>
        <v>3.6654208681954819</v>
      </c>
      <c r="H14" s="87"/>
      <c r="I14" s="142"/>
    </row>
    <row r="15" spans="1:9" x14ac:dyDescent="0.25">
      <c r="A15">
        <f t="shared" si="2"/>
        <v>2024</v>
      </c>
      <c r="B15">
        <f t="shared" si="2"/>
        <v>4</v>
      </c>
      <c r="C15" s="141">
        <f t="shared" ref="C15:C40" si="4">+C14+($C$41-$C$12)/30</f>
        <v>2978.7999999999997</v>
      </c>
      <c r="D15" s="146">
        <f t="shared" si="3"/>
        <v>5.1935001358743786</v>
      </c>
      <c r="E15" s="146">
        <f t="shared" si="0"/>
        <v>3.4606484299298934</v>
      </c>
      <c r="F15" s="146">
        <f t="shared" si="1"/>
        <v>4.349474600879212</v>
      </c>
      <c r="H15" s="87"/>
    </row>
    <row r="16" spans="1:9" x14ac:dyDescent="0.25">
      <c r="A16">
        <f t="shared" si="2"/>
        <v>2025</v>
      </c>
      <c r="B16">
        <f t="shared" si="2"/>
        <v>5</v>
      </c>
      <c r="C16" s="141">
        <f t="shared" si="4"/>
        <v>3520.3999999999996</v>
      </c>
      <c r="D16" s="146">
        <f t="shared" si="3"/>
        <v>6.1377728878515381</v>
      </c>
      <c r="E16" s="146">
        <f t="shared" si="0"/>
        <v>3.8222964816557865</v>
      </c>
      <c r="F16" s="146">
        <f t="shared" si="1"/>
        <v>4.9905710336654678</v>
      </c>
      <c r="H16" s="87"/>
    </row>
    <row r="17" spans="1:8" x14ac:dyDescent="0.25">
      <c r="A17">
        <f t="shared" si="2"/>
        <v>2026</v>
      </c>
      <c r="B17">
        <f t="shared" si="2"/>
        <v>6</v>
      </c>
      <c r="C17" s="141">
        <f t="shared" si="4"/>
        <v>4061.9999999999995</v>
      </c>
      <c r="D17" s="146">
        <f t="shared" si="3"/>
        <v>7.0820456398286975</v>
      </c>
      <c r="E17" s="146">
        <f t="shared" si="0"/>
        <v>4.1218150413254353</v>
      </c>
      <c r="F17" s="146">
        <f t="shared" si="1"/>
        <v>5.5906322259135193</v>
      </c>
      <c r="H17" s="87"/>
    </row>
    <row r="18" spans="1:8" x14ac:dyDescent="0.25">
      <c r="A18">
        <f t="shared" si="2"/>
        <v>2027</v>
      </c>
      <c r="B18">
        <f t="shared" si="2"/>
        <v>7</v>
      </c>
      <c r="C18" s="141">
        <f t="shared" si="4"/>
        <v>4603.5999999999995</v>
      </c>
      <c r="D18" s="146">
        <f t="shared" si="3"/>
        <v>8.0263183918058569</v>
      </c>
      <c r="E18" s="146">
        <f t="shared" si="0"/>
        <v>4.3657854020269395</v>
      </c>
      <c r="F18" s="146">
        <f t="shared" si="1"/>
        <v>6.1515047145974</v>
      </c>
      <c r="H18" s="87"/>
    </row>
    <row r="19" spans="1:8" x14ac:dyDescent="0.25">
      <c r="A19">
        <f t="shared" si="2"/>
        <v>2028</v>
      </c>
      <c r="B19">
        <f t="shared" si="2"/>
        <v>8</v>
      </c>
      <c r="C19" s="141">
        <f t="shared" si="4"/>
        <v>5145.2</v>
      </c>
      <c r="D19" s="146">
        <f t="shared" si="3"/>
        <v>8.9705911437830181</v>
      </c>
      <c r="E19" s="146">
        <f t="shared" si="0"/>
        <v>4.5601936579720661</v>
      </c>
      <c r="F19" s="146">
        <f t="shared" si="1"/>
        <v>6.6749622831153976</v>
      </c>
      <c r="H19" s="87"/>
    </row>
    <row r="20" spans="1:8" x14ac:dyDescent="0.25">
      <c r="A20">
        <f t="shared" si="2"/>
        <v>2029</v>
      </c>
      <c r="B20">
        <f t="shared" si="2"/>
        <v>9</v>
      </c>
      <c r="C20" s="141">
        <f t="shared" si="4"/>
        <v>5686.8</v>
      </c>
      <c r="D20" s="146">
        <f t="shared" si="3"/>
        <v>9.9148638957601793</v>
      </c>
      <c r="E20" s="146">
        <f t="shared" si="0"/>
        <v>4.7104804140390248</v>
      </c>
      <c r="F20" s="146">
        <f t="shared" si="1"/>
        <v>7.1627086328780463</v>
      </c>
      <c r="H20" s="87"/>
    </row>
    <row r="21" spans="1:8" x14ac:dyDescent="0.25">
      <c r="A21">
        <f t="shared" si="2"/>
        <v>2030</v>
      </c>
      <c r="B21">
        <f t="shared" si="2"/>
        <v>10</v>
      </c>
      <c r="C21" s="141">
        <f t="shared" si="4"/>
        <v>6228.4000000000005</v>
      </c>
      <c r="D21" s="146">
        <f t="shared" si="3"/>
        <v>10.859136647737339</v>
      </c>
      <c r="E21" s="146">
        <f t="shared" si="0"/>
        <v>4.8215865386247261</v>
      </c>
      <c r="F21" s="146">
        <f t="shared" si="1"/>
        <v>7.6163799609891392</v>
      </c>
      <c r="H21" s="87"/>
    </row>
    <row r="22" spans="1:8" x14ac:dyDescent="0.25">
      <c r="A22">
        <f t="shared" si="2"/>
        <v>2031</v>
      </c>
      <c r="B22">
        <f t="shared" si="2"/>
        <v>11</v>
      </c>
      <c r="C22" s="141">
        <f t="shared" si="4"/>
        <v>6770.0000000000009</v>
      </c>
      <c r="D22" s="146">
        <f t="shared" si="3"/>
        <v>11.8034093997145</v>
      </c>
      <c r="E22" s="146">
        <f t="shared" si="0"/>
        <v>4.8979952647549023</v>
      </c>
      <c r="F22" s="146">
        <f t="shared" si="1"/>
        <v>8.0375474472236608</v>
      </c>
      <c r="H22" s="87"/>
    </row>
    <row r="23" spans="1:8" x14ac:dyDescent="0.25">
      <c r="A23">
        <f t="shared" si="2"/>
        <v>2032</v>
      </c>
      <c r="B23">
        <f t="shared" si="2"/>
        <v>12</v>
      </c>
      <c r="C23" s="141">
        <f t="shared" si="4"/>
        <v>7311.6000000000013</v>
      </c>
      <c r="D23" s="146">
        <f t="shared" si="3"/>
        <v>12.747682151691659</v>
      </c>
      <c r="E23" s="146">
        <f t="shared" si="0"/>
        <v>4.9437709214348553</v>
      </c>
      <c r="F23" s="146">
        <f t="shared" si="1"/>
        <v>8.4277196533995653</v>
      </c>
      <c r="H23" s="87"/>
    </row>
    <row r="24" spans="1:8" x14ac:dyDescent="0.25">
      <c r="A24">
        <f t="shared" si="2"/>
        <v>2033</v>
      </c>
      <c r="B24">
        <f t="shared" si="2"/>
        <v>13</v>
      </c>
      <c r="C24" s="141">
        <f t="shared" si="4"/>
        <v>7853.2000000000016</v>
      </c>
      <c r="D24" s="146">
        <f t="shared" si="3"/>
        <v>13.691954903668821</v>
      </c>
      <c r="E24" s="146">
        <f t="shared" si="0"/>
        <v>4.9625945559574518</v>
      </c>
      <c r="F24" s="146">
        <f t="shared" si="1"/>
        <v>8.7883448381369078</v>
      </c>
      <c r="H24" s="87"/>
    </row>
    <row r="25" spans="1:8" x14ac:dyDescent="0.25">
      <c r="A25">
        <f t="shared" si="2"/>
        <v>2034</v>
      </c>
      <c r="B25">
        <f t="shared" si="2"/>
        <v>14</v>
      </c>
      <c r="C25" s="141">
        <f t="shared" si="4"/>
        <v>8394.8000000000011</v>
      </c>
      <c r="D25" s="146">
        <f t="shared" si="3"/>
        <v>14.63622765564598</v>
      </c>
      <c r="E25" s="146">
        <f t="shared" si="0"/>
        <v>4.9577966881946836</v>
      </c>
      <c r="F25" s="146">
        <f t="shared" si="1"/>
        <v>9.1208131898976958</v>
      </c>
      <c r="H25" s="87"/>
    </row>
    <row r="26" spans="1:8" x14ac:dyDescent="0.25">
      <c r="A26">
        <f t="shared" si="2"/>
        <v>2035</v>
      </c>
      <c r="B26">
        <f t="shared" si="2"/>
        <v>15</v>
      </c>
      <c r="C26" s="141">
        <f t="shared" si="4"/>
        <v>8936.4000000000015</v>
      </c>
      <c r="D26" s="146">
        <f t="shared" si="3"/>
        <v>15.580500407623139</v>
      </c>
      <c r="E26" s="146">
        <f t="shared" si="0"/>
        <v>4.9323874196691149</v>
      </c>
      <c r="F26" s="146">
        <f t="shared" si="1"/>
        <v>9.4264589811031616</v>
      </c>
      <c r="H26" s="87"/>
    </row>
    <row r="27" spans="1:8" x14ac:dyDescent="0.25">
      <c r="A27">
        <f t="shared" ref="A27:B41" si="5">+A26+1</f>
        <v>2036</v>
      </c>
      <c r="B27">
        <f t="shared" si="5"/>
        <v>16</v>
      </c>
      <c r="C27" s="141">
        <f t="shared" si="4"/>
        <v>9478.0000000000018</v>
      </c>
      <c r="D27" s="146">
        <f t="shared" si="3"/>
        <v>16.524773159600301</v>
      </c>
      <c r="E27" s="146">
        <f t="shared" si="0"/>
        <v>4.8890841033253762</v>
      </c>
      <c r="F27" s="146">
        <f t="shared" si="1"/>
        <v>9.7065626460315002</v>
      </c>
      <c r="H27" s="87"/>
    </row>
    <row r="28" spans="1:8" x14ac:dyDescent="0.25">
      <c r="A28">
        <f t="shared" si="5"/>
        <v>2037</v>
      </c>
      <c r="B28">
        <f t="shared" si="5"/>
        <v>17</v>
      </c>
      <c r="C28" s="141">
        <f t="shared" si="4"/>
        <v>10019.600000000002</v>
      </c>
      <c r="D28" s="146">
        <f t="shared" si="3"/>
        <v>17.46904591157746</v>
      </c>
      <c r="E28" s="146">
        <f t="shared" si="0"/>
        <v>4.8303367643001041</v>
      </c>
      <c r="F28" s="146">
        <f t="shared" si="1"/>
        <v>9.962352785108612</v>
      </c>
      <c r="H28" s="87"/>
    </row>
    <row r="29" spans="1:8" x14ac:dyDescent="0.25">
      <c r="A29">
        <f t="shared" si="5"/>
        <v>2038</v>
      </c>
      <c r="B29">
        <f t="shared" si="5"/>
        <v>18</v>
      </c>
      <c r="C29" s="141">
        <f t="shared" si="4"/>
        <v>10561.200000000003</v>
      </c>
      <c r="D29" s="146">
        <f t="shared" si="3"/>
        <v>18.41331866355462</v>
      </c>
      <c r="E29" s="146">
        <f t="shared" si="0"/>
        <v>4.7583514475297823</v>
      </c>
      <c r="F29" s="146">
        <f t="shared" si="1"/>
        <v>10.195008098116922</v>
      </c>
      <c r="H29" s="87"/>
    </row>
    <row r="30" spans="1:8" x14ac:dyDescent="0.25">
      <c r="A30">
        <f t="shared" si="5"/>
        <v>2039</v>
      </c>
      <c r="B30">
        <f t="shared" si="5"/>
        <v>19</v>
      </c>
      <c r="C30" s="141">
        <f t="shared" si="4"/>
        <v>11102.800000000003</v>
      </c>
      <c r="D30" s="146">
        <f t="shared" si="3"/>
        <v>19.357591415531783</v>
      </c>
      <c r="E30" s="146">
        <f t="shared" si="0"/>
        <v>4.6751116546542315</v>
      </c>
      <c r="F30" s="146">
        <f t="shared" si="1"/>
        <v>10.405659248762607</v>
      </c>
      <c r="H30" s="87"/>
    </row>
    <row r="31" spans="1:8" x14ac:dyDescent="0.25">
      <c r="A31">
        <f t="shared" si="5"/>
        <v>2040</v>
      </c>
      <c r="B31">
        <f t="shared" si="5"/>
        <v>20</v>
      </c>
      <c r="C31" s="141">
        <f t="shared" si="4"/>
        <v>11644.400000000003</v>
      </c>
      <c r="D31" s="146">
        <f t="shared" si="3"/>
        <v>20.301864167508942</v>
      </c>
      <c r="E31" s="146">
        <f t="shared" si="0"/>
        <v>4.5823980202902206</v>
      </c>
      <c r="F31" s="146">
        <f t="shared" si="1"/>
        <v>10.595390662959792</v>
      </c>
      <c r="H31" s="87"/>
    </row>
    <row r="32" spans="1:8" x14ac:dyDescent="0.25">
      <c r="A32">
        <f t="shared" si="5"/>
        <v>2041</v>
      </c>
      <c r="B32">
        <f t="shared" si="5"/>
        <v>21</v>
      </c>
      <c r="C32" s="141">
        <f t="shared" si="4"/>
        <v>12186.000000000004</v>
      </c>
      <c r="D32" s="146">
        <f t="shared" si="3"/>
        <v>21.246136919486101</v>
      </c>
      <c r="E32" s="146">
        <f t="shared" si="0"/>
        <v>4.4818063662912389</v>
      </c>
      <c r="F32" s="146">
        <f t="shared" si="1"/>
        <v>10.7652422631111</v>
      </c>
      <c r="H32" s="87"/>
    </row>
    <row r="33" spans="1:8" x14ac:dyDescent="0.25">
      <c r="A33">
        <f t="shared" si="5"/>
        <v>2042</v>
      </c>
      <c r="B33">
        <f t="shared" si="5"/>
        <v>22</v>
      </c>
      <c r="C33" s="141">
        <f t="shared" si="4"/>
        <v>12727.600000000004</v>
      </c>
      <c r="D33" s="146">
        <f t="shared" si="3"/>
        <v>22.190409671463264</v>
      </c>
      <c r="E33" s="146">
        <f t="shared" si="0"/>
        <v>4.3747642620080631</v>
      </c>
      <c r="F33" s="146">
        <f t="shared" si="1"/>
        <v>10.916211140587309</v>
      </c>
      <c r="H33" s="87"/>
    </row>
    <row r="34" spans="1:8" x14ac:dyDescent="0.25">
      <c r="A34">
        <f t="shared" si="5"/>
        <v>2043</v>
      </c>
      <c r="B34">
        <f t="shared" si="5"/>
        <v>23</v>
      </c>
      <c r="C34" s="141">
        <f t="shared" si="4"/>
        <v>13269.200000000004</v>
      </c>
      <c r="D34" s="146">
        <f t="shared" si="3"/>
        <v>23.134682423440424</v>
      </c>
      <c r="E34" s="146">
        <f t="shared" si="0"/>
        <v>4.2625462087571107</v>
      </c>
      <c r="F34" s="146">
        <f t="shared" si="1"/>
        <v>11.049253168534976</v>
      </c>
      <c r="H34" s="87"/>
    </row>
    <row r="35" spans="1:8" x14ac:dyDescent="0.25">
      <c r="A35">
        <f t="shared" si="5"/>
        <v>2044</v>
      </c>
      <c r="B35">
        <f t="shared" si="5"/>
        <v>24</v>
      </c>
      <c r="C35" s="141">
        <f t="shared" si="4"/>
        <v>13810.800000000005</v>
      </c>
      <c r="D35" s="146">
        <f t="shared" si="3"/>
        <v>24.078955175417583</v>
      </c>
      <c r="E35" s="146">
        <f t="shared" si="0"/>
        <v>4.1462875576313687</v>
      </c>
      <c r="F35" s="146">
        <f t="shared" si="1"/>
        <v>11.165284557069223</v>
      </c>
      <c r="H35" s="87"/>
    </row>
    <row r="36" spans="1:8" x14ac:dyDescent="0.25">
      <c r="A36">
        <f t="shared" si="5"/>
        <v>2045</v>
      </c>
      <c r="B36">
        <f t="shared" si="5"/>
        <v>25</v>
      </c>
      <c r="C36" s="141">
        <f t="shared" si="4"/>
        <v>14352.400000000005</v>
      </c>
      <c r="D36" s="146">
        <f t="shared" si="3"/>
        <v>25.023227927394743</v>
      </c>
      <c r="E36" s="146">
        <f t="shared" si="0"/>
        <v>4.0269972613975167</v>
      </c>
      <c r="F36" s="146">
        <f t="shared" si="1"/>
        <v>11.265183352839689</v>
      </c>
      <c r="H36" s="87"/>
    </row>
    <row r="37" spans="1:8" x14ac:dyDescent="0.25">
      <c r="A37">
        <f t="shared" si="5"/>
        <v>2046</v>
      </c>
      <c r="B37">
        <f t="shared" si="5"/>
        <v>26</v>
      </c>
      <c r="C37" s="141">
        <f t="shared" si="4"/>
        <v>14894.000000000005</v>
      </c>
      <c r="D37" s="146">
        <f t="shared" si="3"/>
        <v>25.967500679371906</v>
      </c>
      <c r="E37" s="146">
        <f t="shared" si="0"/>
        <v>3.9055695534625898</v>
      </c>
      <c r="F37" s="146">
        <f t="shared" si="1"/>
        <v>11.349790884890693</v>
      </c>
      <c r="H37" s="87"/>
    </row>
    <row r="38" spans="1:8" x14ac:dyDescent="0.25">
      <c r="A38">
        <f t="shared" si="5"/>
        <v>2047</v>
      </c>
      <c r="B38">
        <f t="shared" si="5"/>
        <v>27</v>
      </c>
      <c r="C38" s="141">
        <f t="shared" si="4"/>
        <v>15435.600000000006</v>
      </c>
      <c r="D38" s="146">
        <f t="shared" si="3"/>
        <v>26.911773431349065</v>
      </c>
      <c r="E38" s="146">
        <f t="shared" si="0"/>
        <v>3.7827946397173764</v>
      </c>
      <c r="F38" s="146">
        <f t="shared" si="1"/>
        <v>11.419913158672014</v>
      </c>
      <c r="H38" s="87"/>
    </row>
    <row r="39" spans="1:8" x14ac:dyDescent="0.25">
      <c r="A39">
        <f t="shared" si="5"/>
        <v>2048</v>
      </c>
      <c r="B39">
        <f t="shared" si="5"/>
        <v>28</v>
      </c>
      <c r="C39" s="141">
        <f t="shared" si="4"/>
        <v>15977.200000000006</v>
      </c>
      <c r="D39" s="146">
        <f t="shared" si="3"/>
        <v>27.856046183326225</v>
      </c>
      <c r="E39" s="146">
        <f t="shared" si="0"/>
        <v>3.6593684824286803</v>
      </c>
      <c r="F39" s="146">
        <f t="shared" si="1"/>
        <v>11.476322199994017</v>
      </c>
      <c r="H39" s="87"/>
    </row>
    <row r="40" spans="1:8" x14ac:dyDescent="0.25">
      <c r="A40">
        <f t="shared" si="5"/>
        <v>2049</v>
      </c>
      <c r="B40">
        <f t="shared" si="5"/>
        <v>29</v>
      </c>
      <c r="C40" s="141">
        <f t="shared" si="4"/>
        <v>16518.800000000007</v>
      </c>
      <c r="D40" s="146">
        <f t="shared" si="3"/>
        <v>28.800318935303387</v>
      </c>
      <c r="E40" s="146">
        <f t="shared" si="0"/>
        <v>3.5359017492182714</v>
      </c>
      <c r="F40" s="146">
        <f t="shared" si="1"/>
        <v>11.519757350660441</v>
      </c>
      <c r="H40" s="87"/>
    </row>
    <row r="41" spans="1:8" x14ac:dyDescent="0.25">
      <c r="A41">
        <f t="shared" si="5"/>
        <v>2050</v>
      </c>
      <c r="B41">
        <f t="shared" si="5"/>
        <v>30</v>
      </c>
      <c r="C41" s="45">
        <f>+'Electric P&amp;R VMT reduction'!H57</f>
        <v>17602</v>
      </c>
      <c r="D41" s="146">
        <f t="shared" si="3"/>
        <v>30.688864439257696</v>
      </c>
      <c r="E41" s="146">
        <f t="shared" si="0"/>
        <v>3.5212749149561451</v>
      </c>
      <c r="F41" s="146">
        <f t="shared" si="1"/>
        <v>11.917622597372729</v>
      </c>
      <c r="H41" s="87"/>
    </row>
    <row r="42" spans="1:8" x14ac:dyDescent="0.25">
      <c r="A42" s="1" t="s">
        <v>23</v>
      </c>
      <c r="C42" s="45"/>
      <c r="D42" s="11">
        <f>SUM(D9:D41)</f>
        <v>482.52337626032875</v>
      </c>
      <c r="E42" s="11">
        <f>SUM(E9:E41)</f>
        <v>125.4679378710934</v>
      </c>
      <c r="F42" s="11">
        <f>SUM(F9:F41)</f>
        <v>258.80886026193213</v>
      </c>
      <c r="H42" s="87"/>
    </row>
    <row r="43" spans="1:8" x14ac:dyDescent="0.25">
      <c r="H43" s="87"/>
    </row>
    <row r="44" spans="1:8" x14ac:dyDescent="0.25">
      <c r="C44" s="87"/>
      <c r="H44" s="87"/>
    </row>
    <row r="45" spans="1:8" x14ac:dyDescent="0.25">
      <c r="H45" s="87"/>
    </row>
    <row r="46" spans="1:8" x14ac:dyDescent="0.25">
      <c r="B46" s="141"/>
    </row>
  </sheetData>
  <mergeCells count="1">
    <mergeCell ref="D7:F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0"/>
  <sheetViews>
    <sheetView workbookViewId="0">
      <selection activeCell="V13" sqref="V13"/>
    </sheetView>
  </sheetViews>
  <sheetFormatPr defaultRowHeight="15" x14ac:dyDescent="0.25"/>
  <cols>
    <col min="2" max="2" width="13.28515625" customWidth="1"/>
    <col min="3" max="3" width="11.140625" customWidth="1"/>
    <col min="10" max="10" width="2.42578125" customWidth="1"/>
    <col min="11" max="11" width="17.5703125" customWidth="1"/>
    <col min="17" max="17" width="5.42578125" customWidth="1"/>
    <col min="19" max="19" width="9.5703125" customWidth="1"/>
    <col min="21" max="21" width="5.28515625" customWidth="1"/>
    <col min="22" max="22" width="10.140625" customWidth="1"/>
    <col min="23" max="23" width="11.140625" customWidth="1"/>
    <col min="24" max="24" width="12.140625" customWidth="1"/>
    <col min="25" max="25" width="10.5703125" bestFit="1" customWidth="1"/>
    <col min="27" max="27" width="5.28515625" customWidth="1"/>
    <col min="28" max="28" width="12.42578125" customWidth="1"/>
    <col min="29" max="29" width="11.5703125" customWidth="1"/>
    <col min="30" max="30" width="11.85546875" customWidth="1"/>
  </cols>
  <sheetData>
    <row r="1" spans="1:30" ht="18.75" x14ac:dyDescent="0.3">
      <c r="A1" s="2" t="s">
        <v>281</v>
      </c>
    </row>
    <row r="2" spans="1:30" ht="18.75" x14ac:dyDescent="0.3">
      <c r="A2" s="235" t="s">
        <v>282</v>
      </c>
    </row>
    <row r="4" spans="1:30" x14ac:dyDescent="0.25">
      <c r="A4" t="s">
        <v>285</v>
      </c>
    </row>
    <row r="5" spans="1:30" x14ac:dyDescent="0.25">
      <c r="A5" t="s">
        <v>286</v>
      </c>
    </row>
    <row r="6" spans="1:30" x14ac:dyDescent="0.25">
      <c r="A6" t="s">
        <v>287</v>
      </c>
    </row>
    <row r="8" spans="1:30" x14ac:dyDescent="0.25"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</row>
    <row r="9" spans="1:30" x14ac:dyDescent="0.25"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</row>
    <row r="10" spans="1:30" x14ac:dyDescent="0.25"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</row>
    <row r="11" spans="1:30" x14ac:dyDescent="0.25"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</row>
    <row r="12" spans="1:30" x14ac:dyDescent="0.25">
      <c r="C12" s="144"/>
      <c r="D12" s="144"/>
      <c r="E12" s="144"/>
      <c r="F12" s="144"/>
      <c r="G12" s="144"/>
      <c r="H12" s="144"/>
      <c r="I12" s="144"/>
      <c r="J12" s="144"/>
      <c r="K12" s="148">
        <v>907185</v>
      </c>
      <c r="L12" s="149" t="s">
        <v>295</v>
      </c>
      <c r="M12" s="149"/>
      <c r="N12" s="144"/>
      <c r="S12" s="150" t="s">
        <v>205</v>
      </c>
    </row>
    <row r="13" spans="1:30" x14ac:dyDescent="0.25"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S13" s="210" t="s">
        <v>299</v>
      </c>
      <c r="V13" s="147" t="s">
        <v>298</v>
      </c>
      <c r="W13" s="147"/>
      <c r="X13" s="147"/>
      <c r="Y13" s="147"/>
      <c r="Z13" s="147"/>
    </row>
    <row r="14" spans="1:30" x14ac:dyDescent="0.25">
      <c r="C14" s="142"/>
      <c r="D14" s="237" t="s">
        <v>296</v>
      </c>
      <c r="E14" s="237"/>
      <c r="F14" s="237"/>
      <c r="G14" s="237"/>
      <c r="H14" s="237"/>
      <c r="I14" s="237"/>
      <c r="J14" s="142"/>
      <c r="K14" s="238" t="s">
        <v>294</v>
      </c>
      <c r="L14" s="238"/>
      <c r="M14" s="238"/>
      <c r="N14" s="238"/>
      <c r="O14" s="238"/>
      <c r="P14" s="238"/>
      <c r="Q14" s="150"/>
      <c r="R14" s="150"/>
      <c r="S14" s="8" t="s">
        <v>331</v>
      </c>
      <c r="V14" t="s">
        <v>291</v>
      </c>
      <c r="W14" t="s">
        <v>290</v>
      </c>
      <c r="X14" t="s">
        <v>292</v>
      </c>
      <c r="Y14" t="s">
        <v>293</v>
      </c>
      <c r="Z14" t="s">
        <v>288</v>
      </c>
      <c r="AB14" s="213" t="s">
        <v>19</v>
      </c>
      <c r="AC14" s="213"/>
      <c r="AD14" s="213"/>
    </row>
    <row r="15" spans="1:30" ht="60" x14ac:dyDescent="0.25">
      <c r="A15" s="6" t="s">
        <v>13</v>
      </c>
      <c r="B15" s="7" t="s">
        <v>12</v>
      </c>
      <c r="C15" s="7" t="s">
        <v>277</v>
      </c>
      <c r="D15" s="6" t="s">
        <v>289</v>
      </c>
      <c r="E15" s="6" t="s">
        <v>291</v>
      </c>
      <c r="F15" s="6" t="s">
        <v>290</v>
      </c>
      <c r="G15" s="6" t="s">
        <v>292</v>
      </c>
      <c r="H15" s="6" t="s">
        <v>293</v>
      </c>
      <c r="I15" s="6" t="s">
        <v>288</v>
      </c>
      <c r="J15" s="7"/>
      <c r="K15" s="6" t="s">
        <v>289</v>
      </c>
      <c r="L15" s="6" t="s">
        <v>291</v>
      </c>
      <c r="M15" s="6" t="s">
        <v>290</v>
      </c>
      <c r="N15" s="6" t="s">
        <v>292</v>
      </c>
      <c r="O15" s="6" t="s">
        <v>293</v>
      </c>
      <c r="P15" s="6" t="s">
        <v>288</v>
      </c>
      <c r="R15" s="46" t="s">
        <v>300</v>
      </c>
      <c r="S15" s="151" t="s">
        <v>301</v>
      </c>
      <c r="T15" s="57" t="s">
        <v>302</v>
      </c>
      <c r="U15" s="57"/>
      <c r="V15" s="136">
        <v>7508</v>
      </c>
      <c r="W15" s="136">
        <v>44373</v>
      </c>
      <c r="X15" s="136">
        <v>343442</v>
      </c>
      <c r="Y15" s="136">
        <v>1905</v>
      </c>
      <c r="Z15" s="57" t="s">
        <v>297</v>
      </c>
      <c r="AA15" s="7"/>
      <c r="AB15" s="7" t="s">
        <v>114</v>
      </c>
      <c r="AC15" s="7" t="s">
        <v>21</v>
      </c>
      <c r="AD15" s="7" t="s">
        <v>20</v>
      </c>
    </row>
    <row r="16" spans="1:30" x14ac:dyDescent="0.25">
      <c r="A16">
        <v>2018</v>
      </c>
      <c r="C16" s="5"/>
      <c r="D16">
        <v>1.4000792666392359</v>
      </c>
      <c r="E16">
        <v>1.1155358837586831</v>
      </c>
      <c r="F16">
        <v>2.81038031776379E-3</v>
      </c>
      <c r="G16">
        <v>1.9924300309865182</v>
      </c>
      <c r="H16">
        <v>1.7984038380177558</v>
      </c>
      <c r="I16">
        <v>1.4703682619282854</v>
      </c>
      <c r="J16" s="5"/>
      <c r="K16" s="140">
        <f>+D16*$C16/$K$12</f>
        <v>0</v>
      </c>
      <c r="L16" s="140">
        <f t="shared" ref="L16:P16" si="0">+E16*$C16/$K$12</f>
        <v>0</v>
      </c>
      <c r="M16" s="140">
        <f t="shared" si="0"/>
        <v>0</v>
      </c>
      <c r="N16" s="140">
        <f t="shared" si="0"/>
        <v>0</v>
      </c>
      <c r="O16" s="140">
        <f t="shared" si="0"/>
        <v>0</v>
      </c>
      <c r="P16" s="140">
        <f t="shared" si="0"/>
        <v>0</v>
      </c>
      <c r="Q16" s="140"/>
      <c r="R16" s="236">
        <f>+K16*0.907185</f>
        <v>0</v>
      </c>
      <c r="S16" s="57">
        <v>46.414692000000002</v>
      </c>
      <c r="T16" s="57">
        <f>+S16*R16</f>
        <v>0</v>
      </c>
      <c r="U16" s="57"/>
      <c r="V16" s="57">
        <f t="shared" ref="V16:Y17" si="1">+V$15*L16</f>
        <v>0</v>
      </c>
      <c r="W16" s="57">
        <f t="shared" si="1"/>
        <v>0</v>
      </c>
      <c r="X16" s="57">
        <f t="shared" si="1"/>
        <v>0</v>
      </c>
      <c r="Y16" s="57">
        <f t="shared" si="1"/>
        <v>0</v>
      </c>
      <c r="Z16" s="140"/>
      <c r="AA16" s="5"/>
      <c r="AB16" s="57">
        <f>SUM(T16:Z16)</f>
        <v>0</v>
      </c>
      <c r="AC16" s="5">
        <f t="shared" ref="AC16:AC48" si="2">AB16/(1.07^(A16-2018))</f>
        <v>0</v>
      </c>
      <c r="AD16" s="5">
        <f t="shared" ref="AD16:AD48" si="3">AB16/(1.03^(A16-2018))</f>
        <v>0</v>
      </c>
    </row>
    <row r="17" spans="1:33" x14ac:dyDescent="0.25">
      <c r="A17">
        <f>+A16+1</f>
        <v>2019</v>
      </c>
      <c r="C17" s="45"/>
      <c r="D17">
        <v>1.3997809156718413</v>
      </c>
      <c r="E17">
        <v>1.1239968201645312</v>
      </c>
      <c r="F17">
        <v>2.74262110244318E-3</v>
      </c>
      <c r="G17">
        <v>1.9949862997947301</v>
      </c>
      <c r="H17">
        <v>1.8191685034904015</v>
      </c>
      <c r="I17">
        <v>1.4823348361509789</v>
      </c>
      <c r="J17" s="45"/>
      <c r="K17" s="140">
        <f>+D17*$C17/$K$12</f>
        <v>0</v>
      </c>
      <c r="L17" s="140">
        <f>+E17*$C17/$K$12</f>
        <v>0</v>
      </c>
      <c r="M17" s="140">
        <f t="shared" ref="M17:M48" si="4">+F17*$C17/$K$12</f>
        <v>0</v>
      </c>
      <c r="N17" s="140">
        <f t="shared" ref="N17:N48" si="5">+G17*$C17/$K$12</f>
        <v>0</v>
      </c>
      <c r="O17" s="140">
        <f t="shared" ref="O17:O48" si="6">+H17*$C17/$K$12</f>
        <v>0</v>
      </c>
      <c r="P17" s="140">
        <f t="shared" ref="P17:P48" si="7">+I17*$C17/$K$12</f>
        <v>0</v>
      </c>
      <c r="Q17" s="140"/>
      <c r="R17" s="236">
        <f t="shared" ref="R17:R48" si="8">+K17*0.907185</f>
        <v>0</v>
      </c>
      <c r="S17" s="57">
        <v>47.446129600000006</v>
      </c>
      <c r="T17" s="57">
        <f t="shared" ref="T17:T48" si="9">+S17*R17</f>
        <v>0</v>
      </c>
      <c r="U17" s="57"/>
      <c r="V17" s="57">
        <f t="shared" si="1"/>
        <v>0</v>
      </c>
      <c r="W17" s="57">
        <f t="shared" si="1"/>
        <v>0</v>
      </c>
      <c r="X17" s="57">
        <f t="shared" si="1"/>
        <v>0</v>
      </c>
      <c r="Y17" s="57">
        <f t="shared" si="1"/>
        <v>0</v>
      </c>
      <c r="Z17" s="140"/>
      <c r="AA17" s="5"/>
      <c r="AB17" s="57">
        <f t="shared" ref="AB17:AB48" si="10">SUM(T17:Z17)</f>
        <v>0</v>
      </c>
      <c r="AC17" s="5">
        <f t="shared" si="2"/>
        <v>0</v>
      </c>
      <c r="AD17" s="5">
        <f t="shared" si="3"/>
        <v>0</v>
      </c>
    </row>
    <row r="18" spans="1:33" x14ac:dyDescent="0.25">
      <c r="A18">
        <f t="shared" ref="A18:B33" si="11">+A17+1</f>
        <v>2020</v>
      </c>
      <c r="C18" s="45"/>
      <c r="D18">
        <v>1.3999933487589349</v>
      </c>
      <c r="E18">
        <v>1.129858743776337</v>
      </c>
      <c r="F18">
        <v>2.6742143537607701E-3</v>
      </c>
      <c r="G18">
        <v>1.9944545746612639</v>
      </c>
      <c r="H18">
        <v>1.8276220112870241</v>
      </c>
      <c r="I18">
        <v>1.4895967742460996</v>
      </c>
      <c r="J18" s="45"/>
      <c r="K18" s="140">
        <f>+D18*$C18/$K$12</f>
        <v>0</v>
      </c>
      <c r="L18" s="140">
        <f>+E18*$C18/$K$12</f>
        <v>0</v>
      </c>
      <c r="M18" s="140">
        <f t="shared" si="4"/>
        <v>0</v>
      </c>
      <c r="N18" s="140">
        <f t="shared" si="5"/>
        <v>0</v>
      </c>
      <c r="O18" s="140">
        <f t="shared" si="6"/>
        <v>0</v>
      </c>
      <c r="P18" s="140">
        <f t="shared" si="7"/>
        <v>0</v>
      </c>
      <c r="Q18" s="140"/>
      <c r="R18" s="236">
        <f t="shared" si="8"/>
        <v>0</v>
      </c>
      <c r="S18" s="57">
        <v>48.477567200000003</v>
      </c>
      <c r="T18" s="57">
        <f t="shared" si="9"/>
        <v>0</v>
      </c>
      <c r="U18" s="57"/>
      <c r="V18" s="57">
        <f>+V$15*L18</f>
        <v>0</v>
      </c>
      <c r="W18" s="57">
        <f>+W$15*M18</f>
        <v>0</v>
      </c>
      <c r="X18" s="57">
        <f>+X$15*N18</f>
        <v>0</v>
      </c>
      <c r="Y18" s="57">
        <f>+Y$15*O18</f>
        <v>0</v>
      </c>
      <c r="Z18" s="140"/>
      <c r="AA18" s="57"/>
      <c r="AB18" s="57">
        <f t="shared" si="10"/>
        <v>0</v>
      </c>
      <c r="AC18" s="5">
        <f t="shared" si="2"/>
        <v>0</v>
      </c>
      <c r="AD18" s="5">
        <f t="shared" si="3"/>
        <v>0</v>
      </c>
    </row>
    <row r="19" spans="1:33" x14ac:dyDescent="0.25">
      <c r="A19">
        <f t="shared" si="11"/>
        <v>2021</v>
      </c>
      <c r="B19">
        <f>+B18+1</f>
        <v>1</v>
      </c>
      <c r="C19" s="45">
        <f>+'Electric P&amp;R VMT reduction'!G57</f>
        <v>1354</v>
      </c>
      <c r="D19">
        <v>1.4000847656156929</v>
      </c>
      <c r="E19">
        <v>1.1320508305505055</v>
      </c>
      <c r="F19">
        <v>2.60563050722418E-3</v>
      </c>
      <c r="G19">
        <v>1.9928591752460176</v>
      </c>
      <c r="H19">
        <v>1.8316064787456474</v>
      </c>
      <c r="I19">
        <v>1.4946146937126952</v>
      </c>
      <c r="J19" s="45"/>
      <c r="K19" s="140">
        <f>+D19*$C19/$K$12</f>
        <v>2.0896672372709515E-3</v>
      </c>
      <c r="L19" s="140">
        <f>+E19*$C19/$K$12</f>
        <v>1.6896187928210722E-3</v>
      </c>
      <c r="M19" s="140">
        <f t="shared" si="4"/>
        <v>3.8889793226095449E-6</v>
      </c>
      <c r="N19" s="140">
        <f t="shared" si="5"/>
        <v>2.9744002858106207E-3</v>
      </c>
      <c r="O19" s="140">
        <f t="shared" si="6"/>
        <v>2.7337259458893241E-3</v>
      </c>
      <c r="P19" s="140">
        <f t="shared" si="7"/>
        <v>2.2307559045696185E-3</v>
      </c>
      <c r="Q19" s="140"/>
      <c r="R19" s="236">
        <f t="shared" si="8"/>
        <v>1.8957147726436482E-3</v>
      </c>
      <c r="S19" s="57">
        <v>48.477567200000003</v>
      </c>
      <c r="T19" s="57">
        <f t="shared" si="9"/>
        <v>9.189964028286518E-2</v>
      </c>
      <c r="U19" s="57"/>
      <c r="V19" s="57">
        <f>+V$15*L19</f>
        <v>12.68565789650061</v>
      </c>
      <c r="W19" s="57">
        <f>+W$15*M19</f>
        <v>0.17256567948215334</v>
      </c>
      <c r="X19" s="57">
        <f>+X$15*N19</f>
        <v>1021.5339829593712</v>
      </c>
      <c r="Y19" s="57">
        <f>+Y$15*O19</f>
        <v>5.2077479269191622</v>
      </c>
      <c r="Z19" s="140"/>
      <c r="AA19" s="57"/>
      <c r="AB19" s="57">
        <f t="shared" si="10"/>
        <v>1039.6918541025559</v>
      </c>
      <c r="AC19" s="5">
        <f t="shared" si="2"/>
        <v>848.69825312462979</v>
      </c>
      <c r="AD19" s="5">
        <f t="shared" si="3"/>
        <v>951.46532857937609</v>
      </c>
    </row>
    <row r="20" spans="1:33" x14ac:dyDescent="0.25">
      <c r="A20">
        <f t="shared" si="11"/>
        <v>2022</v>
      </c>
      <c r="B20">
        <f>+B19+1</f>
        <v>2</v>
      </c>
      <c r="C20" s="141">
        <f>+C19+($C$48-$C$19)/30</f>
        <v>1895.6</v>
      </c>
      <c r="D20">
        <v>1.4000896628144857</v>
      </c>
      <c r="E20">
        <v>1.1347095596983174</v>
      </c>
      <c r="F20">
        <v>2.5368342393305601E-3</v>
      </c>
      <c r="G20">
        <v>1.9939205549158179</v>
      </c>
      <c r="H20">
        <v>1.8367860591794536</v>
      </c>
      <c r="I20">
        <v>1.4995036189935544</v>
      </c>
      <c r="J20" s="141"/>
      <c r="K20" s="140">
        <f>+D20*$C20/$K$12</f>
        <v>2.9255443650756338E-3</v>
      </c>
      <c r="L20" s="140">
        <f>+E20*$C20/$K$12</f>
        <v>2.3710218327729518E-3</v>
      </c>
      <c r="M20" s="140">
        <f t="shared" si="4"/>
        <v>5.3008184483594962E-6</v>
      </c>
      <c r="N20" s="140">
        <f t="shared" si="5"/>
        <v>4.1663781961765508E-3</v>
      </c>
      <c r="O20" s="140">
        <f t="shared" si="6"/>
        <v>3.8380392684850082E-3</v>
      </c>
      <c r="P20" s="140">
        <f t="shared" si="7"/>
        <v>3.1332738748592421E-3</v>
      </c>
      <c r="Q20" s="140"/>
      <c r="R20" s="236">
        <f t="shared" si="8"/>
        <v>2.6540099648311387E-3</v>
      </c>
      <c r="S20" s="57">
        <v>49.5090048</v>
      </c>
      <c r="T20" s="57">
        <f t="shared" si="9"/>
        <v>0.13139739208807269</v>
      </c>
      <c r="U20" s="57"/>
      <c r="V20" s="57">
        <f>+V$15*L20</f>
        <v>17.801631920459322</v>
      </c>
      <c r="W20" s="57">
        <f>+W$15*M20</f>
        <v>0.23521321700905592</v>
      </c>
      <c r="X20" s="57">
        <f>+X$15*N20</f>
        <v>1430.9092604512668</v>
      </c>
      <c r="Y20" s="57">
        <f>+Y$15*O20</f>
        <v>7.3114648064639409</v>
      </c>
      <c r="Z20" s="140"/>
      <c r="AA20" s="57"/>
      <c r="AB20" s="57">
        <f t="shared" si="10"/>
        <v>1456.3889677872871</v>
      </c>
      <c r="AC20" s="5">
        <f t="shared" si="2"/>
        <v>1111.0721704037587</v>
      </c>
      <c r="AD20" s="5">
        <f t="shared" si="3"/>
        <v>1293.9827346063041</v>
      </c>
      <c r="AF20" s="87"/>
      <c r="AG20" s="141"/>
    </row>
    <row r="21" spans="1:33" x14ac:dyDescent="0.25">
      <c r="A21">
        <f t="shared" si="11"/>
        <v>2023</v>
      </c>
      <c r="B21">
        <f>+B20+1</f>
        <v>3</v>
      </c>
      <c r="C21" s="141">
        <f>+C20+($C$48-$C$19)/30</f>
        <v>2437.1999999999998</v>
      </c>
      <c r="D21">
        <v>1.4000587438228054</v>
      </c>
      <c r="E21">
        <v>1.1377130153744546</v>
      </c>
      <c r="F21">
        <v>2.4676513870545199E-3</v>
      </c>
      <c r="G21">
        <v>1.9963045853390557</v>
      </c>
      <c r="H21">
        <v>1.8422994181612393</v>
      </c>
      <c r="I21">
        <v>1.5034749824571649</v>
      </c>
      <c r="J21" s="141"/>
      <c r="K21" s="140">
        <f>+D21*$C21/$K$12</f>
        <v>3.7613311181786966E-3</v>
      </c>
      <c r="L21" s="140">
        <f>+E21*$C21/$K$12</f>
        <v>3.0565255830625735E-3</v>
      </c>
      <c r="M21" s="140">
        <f t="shared" si="4"/>
        <v>6.6294746501863184E-6</v>
      </c>
      <c r="N21" s="140">
        <f t="shared" si="5"/>
        <v>5.363176789065457E-3</v>
      </c>
      <c r="O21" s="140">
        <f t="shared" si="6"/>
        <v>4.9494338441911766E-3</v>
      </c>
      <c r="P21" s="140">
        <f t="shared" si="7"/>
        <v>4.0391642578356144E-3</v>
      </c>
      <c r="Q21" s="140"/>
      <c r="R21" s="236">
        <f t="shared" si="8"/>
        <v>3.412223170444941E-3</v>
      </c>
      <c r="S21" s="57">
        <v>51.571880000000007</v>
      </c>
      <c r="T21" s="57">
        <f t="shared" si="9"/>
        <v>0.17597476387940605</v>
      </c>
      <c r="U21" s="57"/>
      <c r="V21" s="57">
        <f>+V$15*L21</f>
        <v>22.948394077633804</v>
      </c>
      <c r="W21" s="57">
        <f>+W$15*M21</f>
        <v>0.29416967865271748</v>
      </c>
      <c r="X21" s="57">
        <f>+X$15*N21</f>
        <v>1841.9401627902187</v>
      </c>
      <c r="Y21" s="57">
        <f>+Y$15*O21</f>
        <v>9.4286714731841919</v>
      </c>
      <c r="Z21" s="140"/>
      <c r="AA21" s="57"/>
      <c r="AB21" s="57">
        <f t="shared" si="10"/>
        <v>1874.7873727835688</v>
      </c>
      <c r="AC21" s="5">
        <f t="shared" si="2"/>
        <v>1336.6974862651807</v>
      </c>
      <c r="AD21" s="5">
        <f t="shared" si="3"/>
        <v>1617.2080566156151</v>
      </c>
      <c r="AF21" s="87"/>
      <c r="AG21" s="142"/>
    </row>
    <row r="22" spans="1:33" x14ac:dyDescent="0.25">
      <c r="A22">
        <f t="shared" si="11"/>
        <v>2024</v>
      </c>
      <c r="B22">
        <f t="shared" si="11"/>
        <v>4</v>
      </c>
      <c r="C22" s="141">
        <f t="shared" ref="C22:C47" si="12">+C21+($C$48-$C$19)/30</f>
        <v>2978.7999999999997</v>
      </c>
      <c r="D22">
        <v>1.4007724715749093</v>
      </c>
      <c r="E22">
        <v>1.1623395122718192</v>
      </c>
      <c r="F22">
        <v>2.39704251103403E-3</v>
      </c>
      <c r="G22">
        <v>1.9990155457675829</v>
      </c>
      <c r="H22">
        <v>1.9018991497906286</v>
      </c>
      <c r="I22">
        <v>1.5254500022040398</v>
      </c>
      <c r="J22" s="141"/>
      <c r="K22" s="140">
        <f>+D22*$C22/$K$12</f>
        <v>4.5995260485207972E-3</v>
      </c>
      <c r="L22" s="140">
        <f>+E22*$C22/$K$12</f>
        <v>3.8166161688688578E-3</v>
      </c>
      <c r="M22" s="140">
        <f t="shared" si="4"/>
        <v>7.8708424763065611E-6</v>
      </c>
      <c r="N22" s="140">
        <f t="shared" si="5"/>
        <v>6.5638954653488265E-3</v>
      </c>
      <c r="O22" s="140">
        <f t="shared" si="6"/>
        <v>6.2450075644949199E-3</v>
      </c>
      <c r="P22" s="140">
        <f t="shared" si="7"/>
        <v>5.0089126986947461E-3</v>
      </c>
      <c r="Q22" s="140"/>
      <c r="R22" s="236">
        <f t="shared" si="8"/>
        <v>4.1726210383273392E-3</v>
      </c>
      <c r="S22" s="57">
        <v>52.603317600000011</v>
      </c>
      <c r="T22" s="57">
        <f t="shared" si="9"/>
        <v>0.21949370970357485</v>
      </c>
      <c r="U22" s="57"/>
      <c r="V22" s="57">
        <f>+V$15*L22</f>
        <v>28.655154195867386</v>
      </c>
      <c r="W22" s="57">
        <f>+W$15*M22</f>
        <v>0.34925289320115105</v>
      </c>
      <c r="X22" s="57">
        <f>+X$15*N22</f>
        <v>2254.3173864103314</v>
      </c>
      <c r="Y22" s="57">
        <f>+Y$15*O22</f>
        <v>11.896739410362823</v>
      </c>
      <c r="Z22" s="140"/>
      <c r="AA22" s="57"/>
      <c r="AB22" s="57">
        <f>SUM(T22:Z22)</f>
        <v>2295.4380266194667</v>
      </c>
      <c r="AC22" s="5">
        <f t="shared" si="2"/>
        <v>1529.5472792906025</v>
      </c>
      <c r="AD22" s="5">
        <f t="shared" si="3"/>
        <v>1922.3932094867985</v>
      </c>
      <c r="AF22" s="87"/>
    </row>
    <row r="23" spans="1:33" x14ac:dyDescent="0.25">
      <c r="A23">
        <f t="shared" si="11"/>
        <v>2025</v>
      </c>
      <c r="B23">
        <f t="shared" si="11"/>
        <v>5</v>
      </c>
      <c r="C23" s="141">
        <f t="shared" si="12"/>
        <v>3520.3999999999996</v>
      </c>
      <c r="D23">
        <v>1.4004644773433104</v>
      </c>
      <c r="E23">
        <v>1.1625989769868657</v>
      </c>
      <c r="F23">
        <v>2.3279484519037998E-3</v>
      </c>
      <c r="G23">
        <v>1.9999630169525895</v>
      </c>
      <c r="H23">
        <v>1.9009196215033208</v>
      </c>
      <c r="I23">
        <v>1.5238560533334491</v>
      </c>
      <c r="J23" s="141"/>
      <c r="K23" s="140">
        <f>+D23*$C23/$K$12</f>
        <v>5.4346083169798769E-3</v>
      </c>
      <c r="L23" s="140">
        <f>+E23*$C23/$K$12</f>
        <v>4.5115532538396929E-3</v>
      </c>
      <c r="M23" s="140">
        <f t="shared" si="4"/>
        <v>9.0337800229083755E-6</v>
      </c>
      <c r="N23" s="140">
        <f t="shared" si="5"/>
        <v>7.7610077380907919E-3</v>
      </c>
      <c r="O23" s="140">
        <f t="shared" si="6"/>
        <v>7.3766623517146886E-3</v>
      </c>
      <c r="P23" s="140">
        <f t="shared" si="7"/>
        <v>5.9134386593198444E-3</v>
      </c>
      <c r="Q23" s="140"/>
      <c r="R23" s="236">
        <f t="shared" si="8"/>
        <v>4.9301951460393898E-3</v>
      </c>
      <c r="S23" s="57">
        <v>53.634755200000008</v>
      </c>
      <c r="T23" s="57">
        <f t="shared" si="9"/>
        <v>0.26442980974605096</v>
      </c>
      <c r="U23" s="57"/>
      <c r="V23" s="57">
        <f>+V$15*L23</f>
        <v>33.872741829828414</v>
      </c>
      <c r="W23" s="57">
        <f>+W$15*M23</f>
        <v>0.40085592095651335</v>
      </c>
      <c r="X23" s="57">
        <f>+X$15*N23</f>
        <v>2665.4560195853778</v>
      </c>
      <c r="Y23" s="57">
        <f>+Y$15*O23</f>
        <v>14.052541780016481</v>
      </c>
      <c r="Z23" s="140"/>
      <c r="AA23" s="57"/>
      <c r="AB23" s="57">
        <f>SUM(T23:Z23)</f>
        <v>2714.0465889259253</v>
      </c>
      <c r="AC23" s="5">
        <f t="shared" si="2"/>
        <v>1690.1718127163749</v>
      </c>
      <c r="AD23" s="5">
        <f t="shared" si="3"/>
        <v>2206.7682428460544</v>
      </c>
      <c r="AF23" s="87"/>
    </row>
    <row r="24" spans="1:33" x14ac:dyDescent="0.25">
      <c r="A24">
        <f t="shared" si="11"/>
        <v>2026</v>
      </c>
      <c r="B24">
        <f t="shared" si="11"/>
        <v>6</v>
      </c>
      <c r="C24" s="141">
        <f t="shared" si="12"/>
        <v>4061.9999999999995</v>
      </c>
      <c r="D24">
        <v>1.4005067833546754</v>
      </c>
      <c r="E24">
        <v>1.1630789516697018</v>
      </c>
      <c r="F24">
        <v>2.2658893419832899E-3</v>
      </c>
      <c r="G24">
        <v>1.9968032235046864</v>
      </c>
      <c r="H24">
        <v>1.9011578735694135</v>
      </c>
      <c r="I24">
        <v>1.5232733138511587</v>
      </c>
      <c r="J24" s="141"/>
      <c r="K24" s="140">
        <f>+D24*$C24/$K$12</f>
        <v>6.2708913330651308E-3</v>
      </c>
      <c r="L24" s="140">
        <f>+E24*$C24/$K$12</f>
        <v>5.2077874983408323E-3</v>
      </c>
      <c r="M24" s="140">
        <f t="shared" si="4"/>
        <v>1.0145717254072899E-5</v>
      </c>
      <c r="N24" s="140">
        <f t="shared" si="5"/>
        <v>8.9408606776743837E-3</v>
      </c>
      <c r="O24" s="140">
        <f t="shared" si="6"/>
        <v>8.5126002771639259E-3</v>
      </c>
      <c r="P24" s="140">
        <f t="shared" si="7"/>
        <v>6.8205891861785693E-3</v>
      </c>
      <c r="Q24" s="140"/>
      <c r="R24" s="236">
        <f t="shared" si="8"/>
        <v>5.6888585539866905E-3</v>
      </c>
      <c r="S24" s="57">
        <v>54.666192800000005</v>
      </c>
      <c r="T24" s="57">
        <f t="shared" si="9"/>
        <v>0.31098823852416568</v>
      </c>
      <c r="U24" s="57"/>
      <c r="V24" s="57">
        <f>+V$15*L24</f>
        <v>39.100068537542967</v>
      </c>
      <c r="W24" s="57">
        <f>+W$15*M24</f>
        <v>0.45019591171497675</v>
      </c>
      <c r="X24" s="57">
        <f>+X$15*N24</f>
        <v>3070.6670728618456</v>
      </c>
      <c r="Y24" s="57">
        <f>+Y$15*O24</f>
        <v>16.216503527997279</v>
      </c>
      <c r="Z24" s="140"/>
      <c r="AA24" s="57"/>
      <c r="AB24" s="57">
        <f t="shared" si="10"/>
        <v>3126.7448290776251</v>
      </c>
      <c r="AC24" s="5">
        <f t="shared" si="2"/>
        <v>1819.7939581748328</v>
      </c>
      <c r="AD24" s="5">
        <f t="shared" si="3"/>
        <v>2468.2812414172258</v>
      </c>
      <c r="AF24" s="87"/>
    </row>
    <row r="25" spans="1:33" x14ac:dyDescent="0.25">
      <c r="A25">
        <f t="shared" si="11"/>
        <v>2027</v>
      </c>
      <c r="B25">
        <f t="shared" si="11"/>
        <v>7</v>
      </c>
      <c r="C25" s="141">
        <f t="shared" si="12"/>
        <v>4603.5999999999995</v>
      </c>
      <c r="D25">
        <v>1.4007565294173978</v>
      </c>
      <c r="E25">
        <v>1.1629102002204859</v>
      </c>
      <c r="F25">
        <v>2.2094768863804002E-3</v>
      </c>
      <c r="G25">
        <v>1.9908179619660618</v>
      </c>
      <c r="H25">
        <v>1.8994560263898912</v>
      </c>
      <c r="I25">
        <v>1.5224983013034687</v>
      </c>
      <c r="J25" s="141"/>
      <c r="K25" s="140">
        <f>+D25*$C25/$K$12</f>
        <v>7.1082775385681333E-3</v>
      </c>
      <c r="L25" s="140">
        <f>+E25*$C25/$K$12</f>
        <v>5.901302818868288E-3</v>
      </c>
      <c r="M25" s="140">
        <f t="shared" si="4"/>
        <v>1.1212208969659782E-5</v>
      </c>
      <c r="N25" s="140">
        <f t="shared" si="5"/>
        <v>1.0102602633097948E-2</v>
      </c>
      <c r="O25" s="140">
        <f t="shared" si="6"/>
        <v>9.6389774556330868E-3</v>
      </c>
      <c r="P25" s="140">
        <f t="shared" si="7"/>
        <v>7.7260681998496976E-3</v>
      </c>
      <c r="Q25" s="140"/>
      <c r="R25" s="236">
        <f t="shared" si="8"/>
        <v>6.4485227588259326E-3</v>
      </c>
      <c r="S25" s="57">
        <v>55.697630400000008</v>
      </c>
      <c r="T25" s="57">
        <f t="shared" si="9"/>
        <v>0.35916743724707517</v>
      </c>
      <c r="U25" s="57"/>
      <c r="V25" s="57">
        <f>+V$15*L25</f>
        <v>44.306981564063108</v>
      </c>
      <c r="W25" s="57">
        <f>+W$15*M25</f>
        <v>0.49751934861071351</v>
      </c>
      <c r="X25" s="57">
        <f>+X$15*N25</f>
        <v>3469.6580535164253</v>
      </c>
      <c r="Y25" s="57">
        <f>+Y$15*O25</f>
        <v>18.362252052981031</v>
      </c>
      <c r="Z25" s="140"/>
      <c r="AA25" s="57"/>
      <c r="AB25" s="57">
        <f>SUM(T25:Z25)</f>
        <v>3533.1839739193274</v>
      </c>
      <c r="AC25" s="5">
        <f t="shared" si="2"/>
        <v>1921.8179821722727</v>
      </c>
      <c r="AD25" s="5">
        <f t="shared" si="3"/>
        <v>2707.8913160601214</v>
      </c>
      <c r="AF25" s="87"/>
    </row>
    <row r="26" spans="1:33" x14ac:dyDescent="0.25">
      <c r="A26">
        <f t="shared" si="11"/>
        <v>2028</v>
      </c>
      <c r="B26">
        <f t="shared" si="11"/>
        <v>8</v>
      </c>
      <c r="C26" s="141">
        <f t="shared" si="12"/>
        <v>5145.2</v>
      </c>
      <c r="D26">
        <v>1.4010247775424562</v>
      </c>
      <c r="E26">
        <v>1.1624777595491493</v>
      </c>
      <c r="F26">
        <v>2.1591166528016699E-3</v>
      </c>
      <c r="G26">
        <v>1.9834654251103154</v>
      </c>
      <c r="H26">
        <v>1.8969530375179331</v>
      </c>
      <c r="I26">
        <v>1.5217599916327662</v>
      </c>
      <c r="J26" s="141"/>
      <c r="K26" s="140">
        <f>+D26*$C26/$K$12</f>
        <v>7.946066883173163E-3</v>
      </c>
      <c r="L26" s="140">
        <f>+E26*$C26/$K$12</f>
        <v>6.5931211036693539E-3</v>
      </c>
      <c r="M26" s="140">
        <f t="shared" si="4"/>
        <v>1.2245668746722169E-5</v>
      </c>
      <c r="N26" s="140">
        <f t="shared" si="5"/>
        <v>1.1249443393880626E-2</v>
      </c>
      <c r="O26" s="140">
        <f t="shared" si="6"/>
        <v>1.0758778825308256E-2</v>
      </c>
      <c r="P26" s="140">
        <f t="shared" si="7"/>
        <v>8.6308299949281672E-3</v>
      </c>
      <c r="Q26" s="140"/>
      <c r="R26" s="236">
        <f t="shared" si="8"/>
        <v>7.2085526854114464E-3</v>
      </c>
      <c r="S26" s="57">
        <v>56.729068000000005</v>
      </c>
      <c r="T26" s="57">
        <f t="shared" si="9"/>
        <v>0.40893447547228856</v>
      </c>
      <c r="U26" s="57"/>
      <c r="V26" s="57">
        <f>+V$15*L26</f>
        <v>49.50115324634951</v>
      </c>
      <c r="W26" s="57">
        <f>+W$15*M26</f>
        <v>0.54337705929830282</v>
      </c>
      <c r="X26" s="57">
        <f>+X$15*N26</f>
        <v>3863.5313380811499</v>
      </c>
      <c r="Y26" s="57">
        <f>+Y$15*O26</f>
        <v>20.495473662212227</v>
      </c>
      <c r="Z26" s="140"/>
      <c r="AA26" s="57"/>
      <c r="AB26" s="57">
        <f t="shared" si="10"/>
        <v>3934.4802765244822</v>
      </c>
      <c r="AC26" s="5">
        <f t="shared" si="2"/>
        <v>2000.0902634892293</v>
      </c>
      <c r="AD26" s="5">
        <f t="shared" si="3"/>
        <v>2927.6228320430519</v>
      </c>
      <c r="AF26" s="87"/>
    </row>
    <row r="27" spans="1:33" x14ac:dyDescent="0.25">
      <c r="A27">
        <f t="shared" si="11"/>
        <v>2029</v>
      </c>
      <c r="B27">
        <f t="shared" si="11"/>
        <v>9</v>
      </c>
      <c r="C27" s="141">
        <f t="shared" si="12"/>
        <v>5686.8</v>
      </c>
      <c r="D27">
        <v>1.4012606494685769</v>
      </c>
      <c r="E27">
        <v>1.1615168387620416</v>
      </c>
      <c r="F27">
        <v>2.1142539146291701E-3</v>
      </c>
      <c r="G27">
        <v>1.981697749851169</v>
      </c>
      <c r="H27">
        <v>1.8929216686648542</v>
      </c>
      <c r="I27">
        <v>1.5204312269164115</v>
      </c>
      <c r="J27" s="141"/>
      <c r="K27" s="140">
        <f>+D27*$C27/$K$12</f>
        <v>8.7839735681232642E-3</v>
      </c>
      <c r="L27" s="140">
        <f>+E27*$C27/$K$12</f>
        <v>7.2811102020778323E-3</v>
      </c>
      <c r="M27" s="140">
        <f t="shared" si="4"/>
        <v>1.3253458954582765E-5</v>
      </c>
      <c r="N27" s="140">
        <f t="shared" si="5"/>
        <v>1.2422514441766154E-2</v>
      </c>
      <c r="O27" s="140">
        <f t="shared" si="6"/>
        <v>1.1866010731397997E-2</v>
      </c>
      <c r="P27" s="140">
        <f t="shared" si="7"/>
        <v>9.5310088914920873E-3</v>
      </c>
      <c r="Q27" s="140"/>
      <c r="R27" s="236">
        <f t="shared" si="8"/>
        <v>7.9686890613979034E-3</v>
      </c>
      <c r="S27" s="57">
        <v>56.729068000000005</v>
      </c>
      <c r="T27" s="57">
        <f t="shared" si="9"/>
        <v>0.4520563036348979</v>
      </c>
      <c r="U27" s="57"/>
      <c r="V27" s="57">
        <f>+V$15*L27</f>
        <v>54.666575397200361</v>
      </c>
      <c r="W27" s="57">
        <f>+W$15*M27</f>
        <v>0.58809573419170103</v>
      </c>
      <c r="X27" s="57">
        <f>+X$15*N27</f>
        <v>4266.4132049090513</v>
      </c>
      <c r="Y27" s="57">
        <f>+Y$15*O27</f>
        <v>22.604750443313186</v>
      </c>
      <c r="Z27" s="140"/>
      <c r="AA27" s="57"/>
      <c r="AB27" s="57">
        <f t="shared" si="10"/>
        <v>4344.7246827873914</v>
      </c>
      <c r="AC27" s="5">
        <f t="shared" si="2"/>
        <v>2064.1473990796321</v>
      </c>
      <c r="AD27" s="5">
        <f t="shared" si="3"/>
        <v>3138.7215518094199</v>
      </c>
      <c r="AF27" s="87"/>
    </row>
    <row r="28" spans="1:33" x14ac:dyDescent="0.25">
      <c r="A28">
        <f t="shared" si="11"/>
        <v>2030</v>
      </c>
      <c r="B28">
        <f t="shared" si="11"/>
        <v>10</v>
      </c>
      <c r="C28" s="141">
        <f t="shared" si="12"/>
        <v>6228.4000000000005</v>
      </c>
      <c r="D28">
        <v>1.4014600876897989</v>
      </c>
      <c r="E28">
        <v>1.1603016719698724</v>
      </c>
      <c r="F28">
        <v>2.0744880097725098E-3</v>
      </c>
      <c r="G28">
        <v>1.9822478760385658</v>
      </c>
      <c r="H28">
        <v>1.8872029063091662</v>
      </c>
      <c r="I28">
        <v>1.518794306719695</v>
      </c>
      <c r="J28" s="141"/>
      <c r="K28" s="140">
        <f>+D28*$C28/$K$12</f>
        <v>9.6219117491659848E-3</v>
      </c>
      <c r="L28" s="140">
        <f>+E28*$C28/$K$12</f>
        <v>7.9662063787398988E-3</v>
      </c>
      <c r="M28" s="140">
        <f t="shared" si="4"/>
        <v>1.4242675000211755E-5</v>
      </c>
      <c r="N28" s="140">
        <f t="shared" si="5"/>
        <v>1.3609388020214844E-2</v>
      </c>
      <c r="O28" s="140">
        <f t="shared" si="6"/>
        <v>1.2956844063400533E-2</v>
      </c>
      <c r="P28" s="140">
        <f t="shared" si="7"/>
        <v>1.0427485529382594E-2</v>
      </c>
      <c r="Q28" s="140"/>
      <c r="R28" s="236">
        <f t="shared" si="8"/>
        <v>8.7288540101671443E-3</v>
      </c>
      <c r="S28" s="57">
        <v>57.760505600000002</v>
      </c>
      <c r="T28" s="57">
        <f t="shared" si="9"/>
        <v>0.50418302093584177</v>
      </c>
      <c r="U28" s="57"/>
      <c r="V28" s="57">
        <f>+V$15*L28</f>
        <v>59.810277491579157</v>
      </c>
      <c r="W28" s="57">
        <f>+W$15*M28</f>
        <v>0.63199021778439624</v>
      </c>
      <c r="X28" s="57">
        <f>+X$15*N28</f>
        <v>4674.0354404386262</v>
      </c>
      <c r="Y28" s="57">
        <f>+Y$15*O28</f>
        <v>24.682787940778017</v>
      </c>
      <c r="Z28" s="140"/>
      <c r="AA28" s="57"/>
      <c r="AB28" s="57">
        <f t="shared" si="10"/>
        <v>4759.6646791097037</v>
      </c>
      <c r="AC28" s="5">
        <f t="shared" si="2"/>
        <v>2113.3480395004253</v>
      </c>
      <c r="AD28" s="5">
        <f t="shared" si="3"/>
        <v>3338.3330423926905</v>
      </c>
      <c r="AF28" s="87"/>
    </row>
    <row r="29" spans="1:33" x14ac:dyDescent="0.25">
      <c r="A29">
        <f t="shared" si="11"/>
        <v>2031</v>
      </c>
      <c r="B29">
        <f t="shared" si="11"/>
        <v>11</v>
      </c>
      <c r="C29" s="141">
        <f t="shared" si="12"/>
        <v>6770.0000000000009</v>
      </c>
      <c r="D29">
        <v>1.4018316762343461</v>
      </c>
      <c r="E29">
        <v>1.1782916586651375</v>
      </c>
      <c r="F29">
        <v>2.0389888405657401E-3</v>
      </c>
      <c r="G29">
        <v>1.9839600926176206</v>
      </c>
      <c r="H29">
        <v>1.9290534957178262</v>
      </c>
      <c r="I29">
        <v>1.5311552666318995</v>
      </c>
      <c r="J29" s="141"/>
      <c r="K29" s="140">
        <f>+D29*$C29/$K$12</f>
        <v>1.0461372760910425E-2</v>
      </c>
      <c r="L29" s="140">
        <f>+E29*$C29/$K$12</f>
        <v>8.7931728689991367E-3</v>
      </c>
      <c r="M29" s="140">
        <f t="shared" si="4"/>
        <v>1.5216250765422777E-5</v>
      </c>
      <c r="N29" s="140">
        <f t="shared" si="5"/>
        <v>1.4805590730690314E-2</v>
      </c>
      <c r="O29" s="140">
        <f t="shared" si="6"/>
        <v>1.4395842265921157E-2</v>
      </c>
      <c r="P29" s="140">
        <f t="shared" si="7"/>
        <v>1.1426468862578153E-2</v>
      </c>
      <c r="Q29" s="140"/>
      <c r="R29" s="236">
        <f t="shared" si="8"/>
        <v>9.4904004481065236E-3</v>
      </c>
      <c r="S29" s="57">
        <v>59.82338080000001</v>
      </c>
      <c r="T29" s="57">
        <f t="shared" si="9"/>
        <v>0.5677478399515673</v>
      </c>
      <c r="U29" s="57"/>
      <c r="V29" s="57">
        <f>+V$15*L29</f>
        <v>66.019141900445518</v>
      </c>
      <c r="W29" s="57">
        <f>+W$15*M29</f>
        <v>0.67519069521410491</v>
      </c>
      <c r="X29" s="57">
        <f>+X$15*N29</f>
        <v>5084.8616917297431</v>
      </c>
      <c r="Y29" s="57">
        <f>+Y$15*O29</f>
        <v>27.424079516579805</v>
      </c>
      <c r="Z29" s="140"/>
      <c r="AA29" s="57"/>
      <c r="AB29" s="57">
        <f t="shared" si="10"/>
        <v>5179.5478516819339</v>
      </c>
      <c r="AC29" s="5">
        <f t="shared" si="2"/>
        <v>2149.328214585455</v>
      </c>
      <c r="AD29" s="5">
        <f t="shared" si="3"/>
        <v>3527.0200501615986</v>
      </c>
      <c r="AF29" s="87"/>
    </row>
    <row r="30" spans="1:33" x14ac:dyDescent="0.25">
      <c r="A30">
        <f t="shared" si="11"/>
        <v>2032</v>
      </c>
      <c r="B30">
        <f t="shared" si="11"/>
        <v>12</v>
      </c>
      <c r="C30" s="141">
        <f t="shared" si="12"/>
        <v>7311.6000000000013</v>
      </c>
      <c r="D30">
        <v>1.4019773322258924</v>
      </c>
      <c r="E30">
        <v>1.1790859385336421</v>
      </c>
      <c r="F30">
        <v>2.0081190138307998E-3</v>
      </c>
      <c r="G30">
        <v>1.9855208056082687</v>
      </c>
      <c r="H30">
        <v>1.9284049281778923</v>
      </c>
      <c r="I30">
        <v>1.5307729055365931</v>
      </c>
      <c r="J30" s="141"/>
      <c r="K30" s="140">
        <f>+D30*$C30/$K$12</f>
        <v>1.1299456519125466E-2</v>
      </c>
      <c r="L30" s="140">
        <f>+E30*$C30/$K$12</f>
        <v>9.5030283218776532E-3</v>
      </c>
      <c r="M30" s="140">
        <f t="shared" si="4"/>
        <v>1.6184750609330265E-5</v>
      </c>
      <c r="N30" s="140">
        <f t="shared" si="5"/>
        <v>1.6002616800636495E-2</v>
      </c>
      <c r="O30" s="140">
        <f t="shared" si="6"/>
        <v>1.5542282415235571E-2</v>
      </c>
      <c r="P30" s="140">
        <f t="shared" si="7"/>
        <v>1.2337504672278924E-2</v>
      </c>
      <c r="Q30" s="140"/>
      <c r="R30" s="236">
        <f t="shared" si="8"/>
        <v>1.0250697462302836E-2</v>
      </c>
      <c r="S30" s="57">
        <v>60.854818400000006</v>
      </c>
      <c r="T30" s="57">
        <f t="shared" si="9"/>
        <v>0.62380433254178003</v>
      </c>
      <c r="U30" s="57"/>
      <c r="V30" s="57">
        <f>+V$15*L30</f>
        <v>71.348736640657421</v>
      </c>
      <c r="W30" s="57">
        <f>+W$15*M30</f>
        <v>0.71816593878781187</v>
      </c>
      <c r="X30" s="57">
        <f>+X$15*N30</f>
        <v>5495.9707192441992</v>
      </c>
      <c r="Y30" s="57">
        <f>+Y$15*O30</f>
        <v>29.608048001023764</v>
      </c>
      <c r="Z30" s="140"/>
      <c r="AA30" s="57"/>
      <c r="AB30" s="57">
        <f t="shared" si="10"/>
        <v>5598.2694741572104</v>
      </c>
      <c r="AC30" s="5">
        <f t="shared" si="2"/>
        <v>2171.1054219391594</v>
      </c>
      <c r="AD30" s="5">
        <f t="shared" si="3"/>
        <v>3701.1156311361701</v>
      </c>
      <c r="AF30" s="87"/>
    </row>
    <row r="31" spans="1:33" x14ac:dyDescent="0.25">
      <c r="A31">
        <f t="shared" si="11"/>
        <v>2033</v>
      </c>
      <c r="B31">
        <f t="shared" si="11"/>
        <v>13</v>
      </c>
      <c r="C31" s="141">
        <f t="shared" si="12"/>
        <v>7853.2000000000016</v>
      </c>
      <c r="D31">
        <v>1.4021089885131726</v>
      </c>
      <c r="E31">
        <v>1.1797445437366605</v>
      </c>
      <c r="F31">
        <v>1.9811034066479299E-3</v>
      </c>
      <c r="G31">
        <v>1.9869005685634447</v>
      </c>
      <c r="H31">
        <v>1.9278241679564421</v>
      </c>
      <c r="I31">
        <v>1.5304818370819706</v>
      </c>
      <c r="J31" s="141"/>
      <c r="K31" s="140">
        <f>+D31*$C31/$K$12</f>
        <v>1.2137593003181985E-2</v>
      </c>
      <c r="L31" s="140">
        <f>+E31*$C31/$K$12</f>
        <v>1.0212657672770983E-2</v>
      </c>
      <c r="M31" s="140">
        <f t="shared" si="4"/>
        <v>1.7149755863564242E-5</v>
      </c>
      <c r="N31" s="140">
        <f t="shared" si="5"/>
        <v>1.7199939973701558E-2</v>
      </c>
      <c r="O31" s="140">
        <f t="shared" si="6"/>
        <v>1.6688535145307225E-2</v>
      </c>
      <c r="P31" s="140">
        <f t="shared" si="7"/>
        <v>1.324887422408013E-2</v>
      </c>
      <c r="Q31" s="140"/>
      <c r="R31" s="236">
        <f t="shared" si="8"/>
        <v>1.1011042308591649E-2</v>
      </c>
      <c r="S31" s="57">
        <v>61.88625600000001</v>
      </c>
      <c r="T31" s="57">
        <f t="shared" si="9"/>
        <v>0.68143218313633391</v>
      </c>
      <c r="U31" s="57"/>
      <c r="V31" s="57">
        <f>+V$15*L31</f>
        <v>76.676633807164535</v>
      </c>
      <c r="W31" s="57">
        <f>+W$15*M31</f>
        <v>0.76098611693393614</v>
      </c>
      <c r="X31" s="57">
        <f>+X$15*N31</f>
        <v>5907.1817844480101</v>
      </c>
      <c r="Y31" s="57">
        <f>+Y$15*O31</f>
        <v>31.791659451810265</v>
      </c>
      <c r="Z31" s="140"/>
      <c r="AA31" s="57"/>
      <c r="AB31" s="57">
        <f t="shared" si="10"/>
        <v>6017.0924960070552</v>
      </c>
      <c r="AC31" s="5">
        <f t="shared" si="2"/>
        <v>2180.8712249976679</v>
      </c>
      <c r="AD31" s="5">
        <f t="shared" si="3"/>
        <v>3862.1427071532653</v>
      </c>
      <c r="AF31" s="87"/>
    </row>
    <row r="32" spans="1:33" x14ac:dyDescent="0.25">
      <c r="A32">
        <f t="shared" si="11"/>
        <v>2034</v>
      </c>
      <c r="B32">
        <f t="shared" si="11"/>
        <v>14</v>
      </c>
      <c r="C32" s="141">
        <f t="shared" si="12"/>
        <v>8394.8000000000011</v>
      </c>
      <c r="D32">
        <v>1.4022227228392066</v>
      </c>
      <c r="E32">
        <v>1.1804196629123092</v>
      </c>
      <c r="F32">
        <v>1.9575635702454202E-3</v>
      </c>
      <c r="G32">
        <v>1.9878802495397303</v>
      </c>
      <c r="H32">
        <v>1.9275784687219442</v>
      </c>
      <c r="I32">
        <v>1.5300736436618747</v>
      </c>
      <c r="J32" s="141"/>
      <c r="K32" s="140">
        <f>+D32*$C32/$K$12</f>
        <v>1.2975720843808675E-2</v>
      </c>
      <c r="L32" s="140">
        <f>+E32*$C32/$K$12</f>
        <v>1.0923226228626194E-2</v>
      </c>
      <c r="M32" s="140">
        <f t="shared" si="4"/>
        <v>1.8114667525913959E-5</v>
      </c>
      <c r="N32" s="140">
        <f t="shared" si="5"/>
        <v>1.8395208385099105E-2</v>
      </c>
      <c r="O32" s="140">
        <f t="shared" si="6"/>
        <v>1.7837194981428241E-2</v>
      </c>
      <c r="P32" s="140">
        <f t="shared" si="7"/>
        <v>1.4158812396382996E-2</v>
      </c>
      <c r="Q32" s="140"/>
      <c r="R32" s="236">
        <f t="shared" si="8"/>
        <v>1.1771379313690574E-2</v>
      </c>
      <c r="S32" s="57">
        <v>62.917693600000007</v>
      </c>
      <c r="T32" s="57">
        <f t="shared" si="9"/>
        <v>0.74062803690816192</v>
      </c>
      <c r="U32" s="57"/>
      <c r="V32" s="57">
        <f>+V$15*L32</f>
        <v>82.011582524525465</v>
      </c>
      <c r="W32" s="57">
        <f>+W$15*M32</f>
        <v>0.8038021421273801</v>
      </c>
      <c r="X32" s="57">
        <f>+X$15*N32</f>
        <v>6317.6871581952064</v>
      </c>
      <c r="Y32" s="57">
        <f>+Y$15*O32</f>
        <v>33.979856439620796</v>
      </c>
      <c r="Z32" s="140"/>
      <c r="AA32" s="57"/>
      <c r="AB32" s="57">
        <f t="shared" si="10"/>
        <v>6435.2230273383884</v>
      </c>
      <c r="AC32" s="5">
        <f t="shared" si="2"/>
        <v>2179.8326838968737</v>
      </c>
      <c r="AD32" s="5">
        <f t="shared" si="3"/>
        <v>4010.2182371452618</v>
      </c>
      <c r="AF32" s="87"/>
    </row>
    <row r="33" spans="1:32" x14ac:dyDescent="0.25">
      <c r="A33">
        <f t="shared" si="11"/>
        <v>2035</v>
      </c>
      <c r="B33">
        <f t="shared" si="11"/>
        <v>15</v>
      </c>
      <c r="C33" s="141">
        <f t="shared" si="12"/>
        <v>8936.4000000000015</v>
      </c>
      <c r="D33">
        <v>1.4023215854706499</v>
      </c>
      <c r="E33">
        <v>1.1810607955214916</v>
      </c>
      <c r="F33">
        <v>1.9371896950693499E-3</v>
      </c>
      <c r="G33">
        <v>1.9885857252676</v>
      </c>
      <c r="H33">
        <v>1.9271929761946134</v>
      </c>
      <c r="I33">
        <v>1.5295238322990379</v>
      </c>
      <c r="J33" s="141"/>
      <c r="K33" s="140">
        <f>+D33*$C33/$K$12</f>
        <v>1.3813837989384653E-2</v>
      </c>
      <c r="L33" s="140">
        <f>+E33*$C33/$K$12</f>
        <v>1.1634266101289438E-2</v>
      </c>
      <c r="M33" s="140">
        <f t="shared" si="4"/>
        <v>1.9082658984680902E-5</v>
      </c>
      <c r="N33" s="140">
        <f t="shared" si="5"/>
        <v>1.9588945446939027E-2</v>
      </c>
      <c r="O33" s="140">
        <f t="shared" si="6"/>
        <v>1.8984184386277931E-2</v>
      </c>
      <c r="P33" s="140">
        <f t="shared" si="7"/>
        <v>1.5066868141511517E-2</v>
      </c>
      <c r="Q33" s="140"/>
      <c r="R33" s="236">
        <f t="shared" si="8"/>
        <v>1.2531706616399917E-2</v>
      </c>
      <c r="S33" s="57">
        <v>63.949131200000004</v>
      </c>
      <c r="T33" s="57">
        <f t="shared" si="9"/>
        <v>0.80139175057206646</v>
      </c>
      <c r="U33" s="57"/>
      <c r="V33" s="57">
        <f>+V$15*L33</f>
        <v>87.350069888481102</v>
      </c>
      <c r="W33" s="57">
        <f>+W$15*M33</f>
        <v>0.84675482712724559</v>
      </c>
      <c r="X33" s="57">
        <f>+X$15*N33</f>
        <v>6727.6666021876335</v>
      </c>
      <c r="Y33" s="57">
        <f>+Y$15*O33</f>
        <v>36.16487125585946</v>
      </c>
      <c r="Z33" s="140"/>
      <c r="AA33" s="57"/>
      <c r="AB33" s="57">
        <f t="shared" si="10"/>
        <v>6852.829689909674</v>
      </c>
      <c r="AC33" s="5">
        <f t="shared" si="2"/>
        <v>2169.4303820375121</v>
      </c>
      <c r="AD33" s="5">
        <f t="shared" si="3"/>
        <v>4146.0746629686764</v>
      </c>
      <c r="AF33" s="87"/>
    </row>
    <row r="34" spans="1:32" x14ac:dyDescent="0.25">
      <c r="A34">
        <f t="shared" ref="A34:B48" si="13">+A33+1</f>
        <v>2036</v>
      </c>
      <c r="B34">
        <f t="shared" si="13"/>
        <v>16</v>
      </c>
      <c r="C34" s="141">
        <f t="shared" si="12"/>
        <v>9478.0000000000018</v>
      </c>
      <c r="D34">
        <v>1.402418211341945</v>
      </c>
      <c r="E34">
        <v>1.1815554620067092</v>
      </c>
      <c r="F34">
        <v>1.91964055578846E-3</v>
      </c>
      <c r="G34">
        <v>1.9900387617961441</v>
      </c>
      <c r="H34">
        <v>1.9262674925004697</v>
      </c>
      <c r="I34">
        <v>1.5289920265838306</v>
      </c>
      <c r="J34" s="141"/>
      <c r="K34" s="140">
        <f>+D34*$C34/$K$12</f>
        <v>1.4652049810236014E-2</v>
      </c>
      <c r="L34" s="140">
        <f>+E34*$C34/$K$12</f>
        <v>1.2344541266554883E-2</v>
      </c>
      <c r="M34" s="140">
        <f t="shared" si="4"/>
        <v>2.0055835565803038E-5</v>
      </c>
      <c r="N34" s="140">
        <f t="shared" si="5"/>
        <v>2.0791335156890665E-2</v>
      </c>
      <c r="O34" s="140">
        <f t="shared" si="6"/>
        <v>2.0125071836416451E-2</v>
      </c>
      <c r="P34" s="140">
        <f t="shared" si="7"/>
        <v>1.597445551674857E-2</v>
      </c>
      <c r="Q34" s="140"/>
      <c r="R34" s="236">
        <f t="shared" si="8"/>
        <v>1.3292119807098959E-2</v>
      </c>
      <c r="S34" s="57">
        <v>64.980568800000015</v>
      </c>
      <c r="T34" s="57">
        <f t="shared" si="9"/>
        <v>0.86372950562303685</v>
      </c>
      <c r="U34" s="57"/>
      <c r="V34" s="57">
        <f>+V$15*L34</f>
        <v>92.682815829294057</v>
      </c>
      <c r="W34" s="57">
        <f>+W$15*M34</f>
        <v>0.88993759156137819</v>
      </c>
      <c r="X34" s="57">
        <f>+X$15*N34</f>
        <v>7140.6177289528441</v>
      </c>
      <c r="Y34" s="57">
        <f>+Y$15*O34</f>
        <v>38.338261848373342</v>
      </c>
      <c r="Z34" s="140"/>
      <c r="AA34" s="57"/>
      <c r="AB34" s="57">
        <f t="shared" si="10"/>
        <v>7273.3924737276957</v>
      </c>
      <c r="AC34" s="5">
        <f t="shared" si="2"/>
        <v>2151.9343822211135</v>
      </c>
      <c r="AD34" s="5">
        <f t="shared" si="3"/>
        <v>4272.3515181445036</v>
      </c>
      <c r="AF34" s="87"/>
    </row>
    <row r="35" spans="1:32" x14ac:dyDescent="0.25">
      <c r="A35">
        <f t="shared" si="13"/>
        <v>2037</v>
      </c>
      <c r="B35">
        <f t="shared" si="13"/>
        <v>17</v>
      </c>
      <c r="C35" s="141">
        <f t="shared" si="12"/>
        <v>10019.600000000002</v>
      </c>
      <c r="D35">
        <v>1.4024937812290865</v>
      </c>
      <c r="E35">
        <v>1.1821193289773626</v>
      </c>
      <c r="F35">
        <v>1.9048334992407001E-3</v>
      </c>
      <c r="G35">
        <v>1.9913729354944338</v>
      </c>
      <c r="H35">
        <v>1.9259600749952719</v>
      </c>
      <c r="I35">
        <v>1.5286453099831785</v>
      </c>
      <c r="J35" s="141"/>
      <c r="K35" s="140">
        <f>+D35*$C35/$K$12</f>
        <v>1.5490144447276971E-2</v>
      </c>
      <c r="L35" s="140">
        <f>+E35*$C35/$K$12</f>
        <v>1.305617137477095E-2</v>
      </c>
      <c r="M35" s="140">
        <f t="shared" si="4"/>
        <v>2.1038343589226146E-5</v>
      </c>
      <c r="N35" s="140">
        <f t="shared" si="5"/>
        <v>2.1994147020155796E-2</v>
      </c>
      <c r="O35" s="140">
        <f t="shared" si="6"/>
        <v>2.1271680602548134E-2</v>
      </c>
      <c r="P35" s="140">
        <f t="shared" si="7"/>
        <v>1.6883452160151961E-2</v>
      </c>
      <c r="Q35" s="140"/>
      <c r="R35" s="236">
        <f t="shared" si="8"/>
        <v>1.405242669040296E-2</v>
      </c>
      <c r="S35" s="57">
        <v>66.012006400000004</v>
      </c>
      <c r="T35" s="57">
        <f t="shared" si="9"/>
        <v>0.92762888062241111</v>
      </c>
      <c r="U35" s="57"/>
      <c r="V35" s="57">
        <f>+V$15*L35</f>
        <v>98.025734681780293</v>
      </c>
      <c r="W35" s="57">
        <f>+W$15*M35</f>
        <v>0.93353442008473175</v>
      </c>
      <c r="X35" s="57">
        <f>+X$15*N35</f>
        <v>7553.7138408963465</v>
      </c>
      <c r="Y35" s="57">
        <f>+Y$15*O35</f>
        <v>40.522551547854192</v>
      </c>
      <c r="Z35" s="140"/>
      <c r="AA35" s="57"/>
      <c r="AB35" s="57">
        <f t="shared" si="10"/>
        <v>7694.1232904266881</v>
      </c>
      <c r="AC35" s="5">
        <f t="shared" si="2"/>
        <v>2127.4892050157587</v>
      </c>
      <c r="AD35" s="5">
        <f t="shared" si="3"/>
        <v>4387.851001098531</v>
      </c>
      <c r="AF35" s="87"/>
    </row>
    <row r="36" spans="1:32" x14ac:dyDescent="0.25">
      <c r="A36">
        <f t="shared" si="13"/>
        <v>2038</v>
      </c>
      <c r="B36">
        <f t="shared" si="13"/>
        <v>18</v>
      </c>
      <c r="C36" s="141">
        <f t="shared" si="12"/>
        <v>10561.200000000003</v>
      </c>
      <c r="D36">
        <v>1.4025567422181158</v>
      </c>
      <c r="E36">
        <v>1.1825720120113823</v>
      </c>
      <c r="F36">
        <v>1.8924063003921601E-3</v>
      </c>
      <c r="G36">
        <v>1.9926162077583938</v>
      </c>
      <c r="H36">
        <v>1.9255310537597701</v>
      </c>
      <c r="I36">
        <v>1.5284112973688386</v>
      </c>
      <c r="J36" s="141"/>
      <c r="K36" s="140">
        <f>+D36*$C36/$K$12</f>
        <v>1.6328182527173583E-2</v>
      </c>
      <c r="L36" s="140">
        <f>+E36*$C36/$K$12</f>
        <v>1.3767180380247265E-2</v>
      </c>
      <c r="M36" s="140">
        <f t="shared" si="4"/>
        <v>2.2030877295922757E-5</v>
      </c>
      <c r="N36" s="140">
        <f t="shared" si="5"/>
        <v>2.319749366819111E-2</v>
      </c>
      <c r="O36" s="140">
        <f t="shared" si="6"/>
        <v>2.2416506627609238E-2</v>
      </c>
      <c r="P36" s="140">
        <f t="shared" si="7"/>
        <v>1.7793346884893139E-2</v>
      </c>
      <c r="Q36" s="140"/>
      <c r="R36" s="236">
        <f t="shared" si="8"/>
        <v>1.4812682265913967E-2</v>
      </c>
      <c r="S36" s="57">
        <v>67.043444000000008</v>
      </c>
      <c r="T36" s="57">
        <f t="shared" si="9"/>
        <v>0.99309323398459626</v>
      </c>
      <c r="U36" s="57"/>
      <c r="V36" s="57">
        <f>+V$15*L36</f>
        <v>103.36399029489647</v>
      </c>
      <c r="W36" s="57">
        <f>+W$15*M36</f>
        <v>0.97757611825198054</v>
      </c>
      <c r="X36" s="57">
        <f>+X$15*N36</f>
        <v>7966.993620390891</v>
      </c>
      <c r="Y36" s="57">
        <f>+Y$15*O36</f>
        <v>42.7034451255956</v>
      </c>
      <c r="Z36" s="140"/>
      <c r="AA36" s="57"/>
      <c r="AB36" s="57">
        <f t="shared" si="10"/>
        <v>8115.0317251636197</v>
      </c>
      <c r="AC36" s="5">
        <f t="shared" si="2"/>
        <v>2097.0784062196913</v>
      </c>
      <c r="AD36" s="5">
        <f t="shared" si="3"/>
        <v>4493.0963106760018</v>
      </c>
      <c r="AF36" s="87"/>
    </row>
    <row r="37" spans="1:32" x14ac:dyDescent="0.25">
      <c r="A37">
        <f t="shared" si="13"/>
        <v>2039</v>
      </c>
      <c r="B37">
        <f t="shared" si="13"/>
        <v>19</v>
      </c>
      <c r="C37" s="141">
        <f t="shared" si="12"/>
        <v>11102.800000000003</v>
      </c>
      <c r="D37">
        <v>1.4026024229485496</v>
      </c>
      <c r="E37">
        <v>1.1829862976915482</v>
      </c>
      <c r="F37">
        <v>1.8820733211120399E-3</v>
      </c>
      <c r="G37">
        <v>1.9937801041480736</v>
      </c>
      <c r="H37">
        <v>1.9255691057345821</v>
      </c>
      <c r="I37">
        <v>1.5284342903342873</v>
      </c>
      <c r="J37" s="141"/>
      <c r="K37" s="140">
        <f>+D37*$C37/$K$12</f>
        <v>1.7166084295389759E-2</v>
      </c>
      <c r="L37" s="140">
        <f>+E37*$C37/$K$12</f>
        <v>1.4478259964626537E-2</v>
      </c>
      <c r="M37" s="140">
        <f t="shared" si="4"/>
        <v>2.3034203243707471E-5</v>
      </c>
      <c r="N37" s="140">
        <f t="shared" si="5"/>
        <v>2.4401353351670537E-2</v>
      </c>
      <c r="O37" s="140">
        <f t="shared" si="6"/>
        <v>2.3566536778220456E-2</v>
      </c>
      <c r="P37" s="140">
        <f t="shared" si="7"/>
        <v>1.8706107617215376E-2</v>
      </c>
      <c r="Q37" s="140"/>
      <c r="R37" s="236">
        <f t="shared" si="8"/>
        <v>1.5572814181513159E-2</v>
      </c>
      <c r="S37" s="57">
        <v>69.106319200000016</v>
      </c>
      <c r="T37" s="57">
        <f t="shared" si="9"/>
        <v>1.0761798676699355</v>
      </c>
      <c r="U37" s="57"/>
      <c r="V37" s="57">
        <f>+V$15*L37</f>
        <v>108.70277581441604</v>
      </c>
      <c r="W37" s="57">
        <f>+W$15*M37</f>
        <v>1.0220967005330317</v>
      </c>
      <c r="X37" s="57">
        <f>+X$15*N37</f>
        <v>8380.4495978044324</v>
      </c>
      <c r="Y37" s="57">
        <f>+Y$15*O37</f>
        <v>44.894252562509969</v>
      </c>
      <c r="Z37" s="140"/>
      <c r="AA37" s="57"/>
      <c r="AB37" s="57">
        <f t="shared" si="10"/>
        <v>8536.1449027495619</v>
      </c>
      <c r="AC37" s="5">
        <f t="shared" si="2"/>
        <v>2061.5907043394673</v>
      </c>
      <c r="AD37" s="5">
        <f t="shared" si="3"/>
        <v>4588.5985115278672</v>
      </c>
      <c r="AF37" s="87"/>
    </row>
    <row r="38" spans="1:32" x14ac:dyDescent="0.25">
      <c r="A38">
        <f t="shared" si="13"/>
        <v>2040</v>
      </c>
      <c r="B38">
        <f t="shared" si="13"/>
        <v>20</v>
      </c>
      <c r="C38" s="141">
        <f t="shared" si="12"/>
        <v>11644.400000000003</v>
      </c>
      <c r="D38">
        <v>1.4026273168200596</v>
      </c>
      <c r="E38">
        <v>1.183044593970602</v>
      </c>
      <c r="F38">
        <v>1.8735532288062301E-3</v>
      </c>
      <c r="G38">
        <v>1.9946733885849826</v>
      </c>
      <c r="H38">
        <v>1.9250640476378569</v>
      </c>
      <c r="I38">
        <v>1.528374571746528</v>
      </c>
      <c r="J38" s="141"/>
      <c r="K38" s="140">
        <f>+D38*$C38/$K$12</f>
        <v>1.8003773792533505E-2</v>
      </c>
      <c r="L38" s="140">
        <f>+E38*$C38/$K$12</f>
        <v>1.5185264824739475E-2</v>
      </c>
      <c r="M38" s="140">
        <f t="shared" si="4"/>
        <v>2.4048461138038298E-5</v>
      </c>
      <c r="N38" s="140">
        <f t="shared" si="5"/>
        <v>2.5603129247109443E-2</v>
      </c>
      <c r="O38" s="140">
        <f t="shared" si="6"/>
        <v>2.4709641138592753E-2</v>
      </c>
      <c r="P38" s="140">
        <f t="shared" si="7"/>
        <v>1.9617834138841883E-2</v>
      </c>
      <c r="Q38" s="140"/>
      <c r="R38" s="236">
        <f t="shared" si="8"/>
        <v>1.6332753527979509E-2</v>
      </c>
      <c r="S38" s="57">
        <v>70.13775680000002</v>
      </c>
      <c r="T38" s="57">
        <f t="shared" si="9"/>
        <v>1.1455426948197691</v>
      </c>
      <c r="U38" s="57"/>
      <c r="V38" s="57">
        <f>+V$15*L38</f>
        <v>114.01096830414397</v>
      </c>
      <c r="W38" s="57">
        <f>+W$15*M38</f>
        <v>1.0671023660781733</v>
      </c>
      <c r="X38" s="57">
        <f>+X$15*N38</f>
        <v>8793.189914885761</v>
      </c>
      <c r="Y38" s="57">
        <f>+Y$15*O38</f>
        <v>47.071866369019197</v>
      </c>
      <c r="Z38" s="140"/>
      <c r="AA38" s="57"/>
      <c r="AB38" s="57">
        <f t="shared" si="10"/>
        <v>8956.4853946198218</v>
      </c>
      <c r="AC38" s="5">
        <f t="shared" si="2"/>
        <v>2021.5966673025011</v>
      </c>
      <c r="AD38" s="5">
        <f t="shared" si="3"/>
        <v>4674.3225617164899</v>
      </c>
      <c r="AF38" s="87"/>
    </row>
    <row r="39" spans="1:32" x14ac:dyDescent="0.25">
      <c r="A39">
        <f t="shared" si="13"/>
        <v>2041</v>
      </c>
      <c r="B39">
        <f t="shared" si="13"/>
        <v>21</v>
      </c>
      <c r="C39" s="141">
        <f t="shared" si="12"/>
        <v>12186.000000000004</v>
      </c>
      <c r="D39">
        <v>1.402642852370658</v>
      </c>
      <c r="E39">
        <v>1.1830867543982886</v>
      </c>
      <c r="F39">
        <v>1.8666389167396899E-3</v>
      </c>
      <c r="G39">
        <v>1.9959887586413467</v>
      </c>
      <c r="H39">
        <v>1.9243343607039882</v>
      </c>
      <c r="I39">
        <v>1.5282252677198427</v>
      </c>
      <c r="J39" s="141"/>
      <c r="K39" s="140">
        <f>+D39*$C39/$K$12</f>
        <v>1.8841367305443588E-2</v>
      </c>
      <c r="L39" s="140">
        <f>+E39*$C39/$K$12</f>
        <v>1.5892122542918531E-2</v>
      </c>
      <c r="M39" s="140">
        <f t="shared" si="4"/>
        <v>2.507411590732857E-5</v>
      </c>
      <c r="N39" s="140">
        <f t="shared" si="5"/>
        <v>2.6811641520531598E-2</v>
      </c>
      <c r="O39" s="140">
        <f t="shared" si="6"/>
        <v>2.5849125062185559E-2</v>
      </c>
      <c r="P39" s="140">
        <f t="shared" si="7"/>
        <v>2.0528285975224471E-2</v>
      </c>
      <c r="Q39" s="140"/>
      <c r="R39" s="236">
        <f t="shared" si="8"/>
        <v>1.7092605798988841E-2</v>
      </c>
      <c r="S39" s="57">
        <v>71.169194400000009</v>
      </c>
      <c r="T39" s="57">
        <f t="shared" si="9"/>
        <v>1.2164669849108043</v>
      </c>
      <c r="U39" s="57"/>
      <c r="V39" s="57">
        <f>+V$15*L39</f>
        <v>119.31805605223234</v>
      </c>
      <c r="W39" s="57">
        <f>+W$15*M39</f>
        <v>1.1126137451558906</v>
      </c>
      <c r="X39" s="57">
        <f>+X$15*N39</f>
        <v>9208.2437870944123</v>
      </c>
      <c r="Y39" s="57">
        <f>+Y$15*O39</f>
        <v>49.242583243463493</v>
      </c>
      <c r="Z39" s="140"/>
      <c r="AA39" s="57"/>
      <c r="AB39" s="57">
        <f t="shared" si="10"/>
        <v>9379.1335071201756</v>
      </c>
      <c r="AC39" s="5">
        <f t="shared" si="2"/>
        <v>1978.4989818056499</v>
      </c>
      <c r="AD39" s="5">
        <f t="shared" si="3"/>
        <v>4752.3295554782553</v>
      </c>
      <c r="AF39" s="87"/>
    </row>
    <row r="40" spans="1:32" x14ac:dyDescent="0.25">
      <c r="A40">
        <f t="shared" si="13"/>
        <v>2042</v>
      </c>
      <c r="B40">
        <f t="shared" si="13"/>
        <v>22</v>
      </c>
      <c r="C40" s="141">
        <f t="shared" si="12"/>
        <v>12727.600000000004</v>
      </c>
      <c r="D40">
        <v>1.4026416878194727</v>
      </c>
      <c r="E40">
        <v>1.1831018592043709</v>
      </c>
      <c r="F40">
        <v>1.8610631226212201E-3</v>
      </c>
      <c r="G40">
        <v>1.9970979185588522</v>
      </c>
      <c r="H40">
        <v>1.923596552888323</v>
      </c>
      <c r="I40">
        <v>1.5280188987709289</v>
      </c>
      <c r="J40" s="141"/>
      <c r="K40" s="140">
        <f>+D40*$C40/$K$12</f>
        <v>1.9678745069518482E-2</v>
      </c>
      <c r="L40" s="140">
        <f>+E40*$C40/$K$12</f>
        <v>1.6598651017388468E-2</v>
      </c>
      <c r="M40" s="140">
        <f t="shared" si="4"/>
        <v>2.6110293930646836E-5</v>
      </c>
      <c r="N40" s="140">
        <f t="shared" si="5"/>
        <v>2.8018831294884344E-2</v>
      </c>
      <c r="O40" s="140">
        <f t="shared" si="6"/>
        <v>2.6987623788468092E-2</v>
      </c>
      <c r="P40" s="140">
        <f t="shared" si="7"/>
        <v>2.1437758931195823E-2</v>
      </c>
      <c r="Q40" s="140"/>
      <c r="R40" s="236">
        <f t="shared" si="8"/>
        <v>1.7852262345891125E-2</v>
      </c>
      <c r="S40" s="57">
        <v>71.169194400000009</v>
      </c>
      <c r="T40" s="57">
        <f t="shared" si="9"/>
        <v>1.2705311293745256</v>
      </c>
      <c r="U40" s="57"/>
      <c r="V40" s="57">
        <f>+V$15*L40</f>
        <v>124.62267183855262</v>
      </c>
      <c r="W40" s="57">
        <f>+W$15*M40</f>
        <v>1.158592072584592</v>
      </c>
      <c r="X40" s="57">
        <f>+X$15*N40</f>
        <v>9622.8434575776682</v>
      </c>
      <c r="Y40" s="57">
        <f>+Y$15*O40</f>
        <v>51.411423317031712</v>
      </c>
      <c r="Z40" s="140"/>
      <c r="AA40" s="57"/>
      <c r="AB40" s="57">
        <f t="shared" si="10"/>
        <v>9801.3066759352114</v>
      </c>
      <c r="AC40" s="5">
        <f t="shared" si="2"/>
        <v>1932.2944822421996</v>
      </c>
      <c r="AD40" s="5">
        <f t="shared" si="3"/>
        <v>4821.5934141021862</v>
      </c>
      <c r="AF40" s="87"/>
    </row>
    <row r="41" spans="1:32" x14ac:dyDescent="0.25">
      <c r="A41">
        <f t="shared" si="13"/>
        <v>2043</v>
      </c>
      <c r="B41">
        <f t="shared" si="13"/>
        <v>23</v>
      </c>
      <c r="C41" s="141">
        <f t="shared" si="12"/>
        <v>13269.200000000004</v>
      </c>
      <c r="D41">
        <v>1.4026286239379051</v>
      </c>
      <c r="E41">
        <v>1.1830919443427867</v>
      </c>
      <c r="F41">
        <v>1.8566246991682E-3</v>
      </c>
      <c r="G41">
        <v>1.9980149256916797</v>
      </c>
      <c r="H41">
        <v>1.9229089505717414</v>
      </c>
      <c r="I41">
        <v>1.5277817159542721</v>
      </c>
      <c r="J41" s="141"/>
      <c r="K41" s="140">
        <f>+D41*$C41/$K$12</f>
        <v>2.0515947394144366E-2</v>
      </c>
      <c r="L41" s="140">
        <f>+E41*$C41/$K$12</f>
        <v>1.7304831570047245E-2</v>
      </c>
      <c r="M41" s="140">
        <f t="shared" si="4"/>
        <v>2.7156450402291359E-5</v>
      </c>
      <c r="N41" s="140">
        <f t="shared" si="5"/>
        <v>2.9224534854509328E-2</v>
      </c>
      <c r="O41" s="140">
        <f t="shared" si="6"/>
        <v>2.8125975900093761E-2</v>
      </c>
      <c r="P41" s="140">
        <f t="shared" si="7"/>
        <v>2.2346534770019827E-2</v>
      </c>
      <c r="Q41" s="140"/>
      <c r="R41" s="236">
        <f t="shared" si="8"/>
        <v>1.8611759736756855E-2</v>
      </c>
      <c r="S41" s="57">
        <v>72.200632000000013</v>
      </c>
      <c r="T41" s="57">
        <f t="shared" si="9"/>
        <v>1.3437808156259989</v>
      </c>
      <c r="U41" s="57"/>
      <c r="V41" s="57">
        <f>+V$15*L41</f>
        <v>129.92467542791471</v>
      </c>
      <c r="W41" s="57">
        <f>+W$15*M41</f>
        <v>1.2050131737008745</v>
      </c>
      <c r="X41" s="57">
        <f>+X$15*N41</f>
        <v>10036.932699502393</v>
      </c>
      <c r="Y41" s="57">
        <f>+Y$15*O41</f>
        <v>53.579984089678618</v>
      </c>
      <c r="Z41" s="140"/>
      <c r="AA41" s="57"/>
      <c r="AB41" s="57">
        <f t="shared" si="10"/>
        <v>10222.986153009313</v>
      </c>
      <c r="AC41" s="5">
        <f t="shared" si="2"/>
        <v>1883.57679051321</v>
      </c>
      <c r="AD41" s="5">
        <f t="shared" si="3"/>
        <v>4882.5551211620768</v>
      </c>
      <c r="AF41" s="87"/>
    </row>
    <row r="42" spans="1:32" x14ac:dyDescent="0.25">
      <c r="A42">
        <f t="shared" si="13"/>
        <v>2044</v>
      </c>
      <c r="B42">
        <f t="shared" si="13"/>
        <v>24</v>
      </c>
      <c r="C42" s="141">
        <f t="shared" si="12"/>
        <v>13810.800000000005</v>
      </c>
      <c r="D42">
        <v>1.4026060393427704</v>
      </c>
      <c r="E42">
        <v>1.1830666385028177</v>
      </c>
      <c r="F42">
        <v>1.8531276902627599E-3</v>
      </c>
      <c r="G42">
        <v>1.9987486350097812</v>
      </c>
      <c r="H42">
        <v>1.9222766372502205</v>
      </c>
      <c r="I42">
        <v>1.5275117666859419</v>
      </c>
      <c r="J42" s="141"/>
      <c r="K42" s="140">
        <f>+D42*$C42/$K$12</f>
        <v>2.1352989178783977E-2</v>
      </c>
      <c r="L42" s="140">
        <f>+E42*$C42/$K$12</f>
        <v>1.801076597500479E-2</v>
      </c>
      <c r="M42" s="140">
        <f t="shared" si="4"/>
        <v>2.821163919672496E-5</v>
      </c>
      <c r="N42" s="140">
        <f t="shared" si="5"/>
        <v>3.04285428533244E-2</v>
      </c>
      <c r="O42" s="140">
        <f t="shared" si="6"/>
        <v>2.9264348706973059E-2</v>
      </c>
      <c r="P42" s="140">
        <f t="shared" si="7"/>
        <v>2.3254528577243024E-2</v>
      </c>
      <c r="Q42" s="140"/>
      <c r="R42" s="236">
        <f t="shared" si="8"/>
        <v>1.9371111488155141E-2</v>
      </c>
      <c r="S42" s="57">
        <v>73.232069600000003</v>
      </c>
      <c r="T42" s="57">
        <f t="shared" si="9"/>
        <v>1.4185865847299368</v>
      </c>
      <c r="U42" s="57"/>
      <c r="V42" s="57">
        <f>+V$15*L42</f>
        <v>135.22483094033598</v>
      </c>
      <c r="W42" s="57">
        <f>+W$15*M42</f>
        <v>1.2518350660762767</v>
      </c>
      <c r="X42" s="57">
        <f>+X$15*N42</f>
        <v>10450.439614631439</v>
      </c>
      <c r="Y42" s="57">
        <f>+Y$15*O42</f>
        <v>55.748584286783675</v>
      </c>
      <c r="Z42" s="140"/>
      <c r="AA42" s="57"/>
      <c r="AB42" s="57">
        <f t="shared" si="10"/>
        <v>10644.083451509367</v>
      </c>
      <c r="AC42" s="5">
        <f t="shared" si="2"/>
        <v>1832.8631975875533</v>
      </c>
      <c r="AD42" s="5">
        <f t="shared" si="3"/>
        <v>4935.6053748803315</v>
      </c>
      <c r="AF42" s="87"/>
    </row>
    <row r="43" spans="1:32" x14ac:dyDescent="0.25">
      <c r="A43">
        <f t="shared" si="13"/>
        <v>2045</v>
      </c>
      <c r="B43">
        <f t="shared" si="13"/>
        <v>25</v>
      </c>
      <c r="C43" s="141">
        <f t="shared" si="12"/>
        <v>14352.400000000005</v>
      </c>
      <c r="D43">
        <v>1.4025729428747959</v>
      </c>
      <c r="E43">
        <v>1.183015482109165</v>
      </c>
      <c r="F43">
        <v>1.85036023219417E-3</v>
      </c>
      <c r="G43">
        <v>1.9993254957891462</v>
      </c>
      <c r="H43">
        <v>1.9216298612632532</v>
      </c>
      <c r="I43">
        <v>1.5271872533510198</v>
      </c>
      <c r="J43" s="141"/>
      <c r="K43" s="140">
        <f>+D43*$C43/$K$12</f>
        <v>2.2189837690566122E-2</v>
      </c>
      <c r="L43" s="140">
        <f>+E43*$C43/$K$12</f>
        <v>1.8716261187545633E-2</v>
      </c>
      <c r="M43" s="140">
        <f t="shared" si="4"/>
        <v>2.9274194565103718E-5</v>
      </c>
      <c r="N43" s="140">
        <f t="shared" si="5"/>
        <v>3.1630945447471193E-2</v>
      </c>
      <c r="O43" s="140">
        <f t="shared" si="6"/>
        <v>3.0401737705974773E-2</v>
      </c>
      <c r="P43" s="140">
        <f t="shared" si="7"/>
        <v>2.4161336811119212E-2</v>
      </c>
      <c r="Q43" s="140"/>
      <c r="R43" s="236">
        <f t="shared" si="8"/>
        <v>2.0130287905316228E-2</v>
      </c>
      <c r="S43" s="57">
        <v>74.263507200000006</v>
      </c>
      <c r="T43" s="57">
        <f t="shared" si="9"/>
        <v>1.4949457807945248</v>
      </c>
      <c r="U43" s="57"/>
      <c r="V43" s="57">
        <f>+V$15*L43</f>
        <v>140.52168899609262</v>
      </c>
      <c r="W43" s="57">
        <f>+W$15*M43</f>
        <v>1.2989838354373473</v>
      </c>
      <c r="X43" s="57">
        <f>+X$15*N43</f>
        <v>10863.395166370401</v>
      </c>
      <c r="Y43" s="57">
        <f>+Y$15*O43</f>
        <v>57.91531032988194</v>
      </c>
      <c r="Z43" s="140"/>
      <c r="AA43" s="57"/>
      <c r="AB43" s="57">
        <f t="shared" si="10"/>
        <v>11064.626095312608</v>
      </c>
      <c r="AC43" s="5">
        <f t="shared" si="2"/>
        <v>1780.6343415603606</v>
      </c>
      <c r="AD43" s="5">
        <f t="shared" si="3"/>
        <v>4981.1735742475184</v>
      </c>
      <c r="AF43" s="87"/>
    </row>
    <row r="44" spans="1:32" x14ac:dyDescent="0.25">
      <c r="A44">
        <f t="shared" si="13"/>
        <v>2046</v>
      </c>
      <c r="B44">
        <f t="shared" si="13"/>
        <v>26</v>
      </c>
      <c r="C44" s="141">
        <f t="shared" si="12"/>
        <v>14894.000000000005</v>
      </c>
      <c r="D44">
        <v>1.4025362457863606</v>
      </c>
      <c r="E44">
        <v>1.1828824264733748</v>
      </c>
      <c r="F44">
        <v>1.8482053243408E-3</v>
      </c>
      <c r="G44">
        <v>1.9997789616007469</v>
      </c>
      <c r="H44">
        <v>1.9208469370084555</v>
      </c>
      <c r="I44">
        <v>1.526842188067753</v>
      </c>
      <c r="J44" s="141"/>
      <c r="K44" s="140">
        <f>+D44*$C44/$K$12</f>
        <v>2.3026587570056892E-2</v>
      </c>
      <c r="L44" s="140">
        <f>+E44*$C44/$K$12</f>
        <v>1.9420350711149819E-2</v>
      </c>
      <c r="M44" s="140">
        <f t="shared" si="4"/>
        <v>3.0343502263300084E-5</v>
      </c>
      <c r="N44" s="140">
        <f t="shared" si="5"/>
        <v>3.2832010950447299E-2</v>
      </c>
      <c r="O44" s="140">
        <f t="shared" si="6"/>
        <v>3.153611918164867E-2</v>
      </c>
      <c r="P44" s="140">
        <f t="shared" si="7"/>
        <v>2.5067420150334408E-2</v>
      </c>
      <c r="Q44" s="140"/>
      <c r="R44" s="236">
        <f t="shared" si="8"/>
        <v>2.0889374844742063E-2</v>
      </c>
      <c r="S44" s="57">
        <v>75.29494480000001</v>
      </c>
      <c r="T44" s="57">
        <f t="shared" si="9"/>
        <v>1.5728643258413624</v>
      </c>
      <c r="U44" s="57"/>
      <c r="V44" s="57">
        <f>+V$15*L44</f>
        <v>145.80799313931283</v>
      </c>
      <c r="W44" s="57">
        <f>+W$15*M44</f>
        <v>1.3464322259294146</v>
      </c>
      <c r="X44" s="57">
        <f>+X$15*N44</f>
        <v>11275.891504843521</v>
      </c>
      <c r="Y44" s="57">
        <f>+Y$15*O44</f>
        <v>60.076307041040714</v>
      </c>
      <c r="Z44" s="140"/>
      <c r="AA44" s="57"/>
      <c r="AB44" s="57">
        <f t="shared" si="10"/>
        <v>11484.695101575646</v>
      </c>
      <c r="AC44" s="5">
        <f t="shared" si="2"/>
        <v>1727.3235523642898</v>
      </c>
      <c r="AD44" s="5">
        <f t="shared" si="3"/>
        <v>5019.6932461489741</v>
      </c>
      <c r="AF44" s="87"/>
    </row>
    <row r="45" spans="1:32" x14ac:dyDescent="0.25">
      <c r="A45">
        <f t="shared" si="13"/>
        <v>2047</v>
      </c>
      <c r="B45">
        <f t="shared" si="13"/>
        <v>27</v>
      </c>
      <c r="C45" s="141">
        <f t="shared" si="12"/>
        <v>15435.600000000006</v>
      </c>
      <c r="D45">
        <v>1.4024939301557382</v>
      </c>
      <c r="E45">
        <v>1.1826771776910556</v>
      </c>
      <c r="F45">
        <v>1.8465271302286501E-3</v>
      </c>
      <c r="G45">
        <v>2.0000937710222502</v>
      </c>
      <c r="H45">
        <v>1.9199631260500636</v>
      </c>
      <c r="I45">
        <v>1.5264518313813857</v>
      </c>
      <c r="J45" s="141"/>
      <c r="K45" s="140">
        <f>+D45*$C45/$K$12</f>
        <v>2.3863198033821021E-2</v>
      </c>
      <c r="L45" s="140">
        <f>+E45*$C45/$K$12</f>
        <v>2.0123053008998238E-2</v>
      </c>
      <c r="M45" s="140">
        <f t="shared" si="4"/>
        <v>3.1418348155400895E-5</v>
      </c>
      <c r="N45" s="140">
        <f t="shared" si="5"/>
        <v>3.4031258687027513E-2</v>
      </c>
      <c r="O45" s="140">
        <f t="shared" si="6"/>
        <v>3.2667849257272084E-2</v>
      </c>
      <c r="P45" s="140">
        <f t="shared" si="7"/>
        <v>2.597232084797536E-2</v>
      </c>
      <c r="Q45" s="140"/>
      <c r="R45" s="236">
        <f t="shared" si="8"/>
        <v>2.1648335308311922E-2</v>
      </c>
      <c r="S45" s="57">
        <v>76.326382400000014</v>
      </c>
      <c r="T45" s="57">
        <f t="shared" si="9"/>
        <v>1.652339119065638</v>
      </c>
      <c r="U45" s="57"/>
      <c r="V45" s="57">
        <f>+V$15*L45</f>
        <v>151.08388199155877</v>
      </c>
      <c r="W45" s="57">
        <f>+W$15*M45</f>
        <v>1.3941263626996039</v>
      </c>
      <c r="X45" s="57">
        <f>+X$15*N45</f>
        <v>11687.763545990103</v>
      </c>
      <c r="Y45" s="57">
        <f>+Y$15*O45</f>
        <v>62.232252835103324</v>
      </c>
      <c r="Z45" s="140"/>
      <c r="AA45" s="57"/>
      <c r="AB45" s="57">
        <f t="shared" si="10"/>
        <v>11904.126146298529</v>
      </c>
      <c r="AC45" s="5">
        <f t="shared" si="2"/>
        <v>1673.2774854696816</v>
      </c>
      <c r="AD45" s="5">
        <f t="shared" si="3"/>
        <v>5051.472626558575</v>
      </c>
      <c r="AF45" s="87"/>
    </row>
    <row r="46" spans="1:32" x14ac:dyDescent="0.25">
      <c r="A46">
        <f t="shared" si="13"/>
        <v>2048</v>
      </c>
      <c r="B46">
        <f t="shared" si="13"/>
        <v>28</v>
      </c>
      <c r="C46" s="141">
        <f t="shared" si="12"/>
        <v>15977.200000000006</v>
      </c>
      <c r="D46">
        <v>1.4024452472573963</v>
      </c>
      <c r="E46">
        <v>1.1824192261037845</v>
      </c>
      <c r="F46">
        <v>1.8452110739615099E-3</v>
      </c>
      <c r="G46">
        <v>2.0002616047945083</v>
      </c>
      <c r="H46">
        <v>1.9190278193698465</v>
      </c>
      <c r="I46">
        <v>1.5260256804041155</v>
      </c>
      <c r="J46" s="141"/>
      <c r="K46" s="140">
        <f>+D46*$C46/$K$12</f>
        <v>2.4699645832416628E-2</v>
      </c>
      <c r="L46" s="140">
        <f>+E46*$C46/$K$12</f>
        <v>2.0824582041485906E-2</v>
      </c>
      <c r="M46" s="140">
        <f t="shared" si="4"/>
        <v>3.2497568159634307E-5</v>
      </c>
      <c r="N46" s="140">
        <f t="shared" si="5"/>
        <v>3.5228293801289522E-2</v>
      </c>
      <c r="O46" s="140">
        <f t="shared" si="6"/>
        <v>3.3797617107465316E-2</v>
      </c>
      <c r="P46" s="140">
        <f t="shared" si="7"/>
        <v>2.6876125047209379E-2</v>
      </c>
      <c r="Q46" s="140"/>
      <c r="R46" s="236">
        <f t="shared" si="8"/>
        <v>2.2407148204480878E-2</v>
      </c>
      <c r="S46" s="57">
        <v>78.389257600000008</v>
      </c>
      <c r="T46" s="57">
        <f t="shared" si="9"/>
        <v>1.7564797126824292</v>
      </c>
      <c r="U46" s="57"/>
      <c r="V46" s="57">
        <f>+V$15*L46</f>
        <v>156.3509619674762</v>
      </c>
      <c r="W46" s="57">
        <f>+W$15*M46</f>
        <v>1.4420145919474532</v>
      </c>
      <c r="X46" s="57">
        <f>+X$15*N46</f>
        <v>12098.875679702476</v>
      </c>
      <c r="Y46" s="57">
        <f>+Y$15*O46</f>
        <v>64.384460589721428</v>
      </c>
      <c r="Z46" s="140"/>
      <c r="AA46" s="57"/>
      <c r="AB46" s="57">
        <f t="shared" si="10"/>
        <v>12322.809596564304</v>
      </c>
      <c r="AC46" s="5">
        <f t="shared" si="2"/>
        <v>1618.8119719455665</v>
      </c>
      <c r="AD46" s="5">
        <f t="shared" si="3"/>
        <v>5076.8343938200478</v>
      </c>
      <c r="AF46" s="87"/>
    </row>
    <row r="47" spans="1:32" x14ac:dyDescent="0.25">
      <c r="A47">
        <f t="shared" si="13"/>
        <v>2049</v>
      </c>
      <c r="B47">
        <f t="shared" si="13"/>
        <v>29</v>
      </c>
      <c r="C47" s="141">
        <f t="shared" si="12"/>
        <v>16518.800000000007</v>
      </c>
      <c r="D47">
        <v>1.4023966735263993</v>
      </c>
      <c r="E47">
        <v>1.1822362316549082</v>
      </c>
      <c r="F47">
        <v>1.8441745262091499E-3</v>
      </c>
      <c r="G47">
        <v>2.0005600197586588</v>
      </c>
      <c r="H47">
        <v>1.9182388104546908</v>
      </c>
      <c r="I47">
        <v>1.5257811271688388</v>
      </c>
      <c r="J47" s="141"/>
      <c r="K47" s="140">
        <f>+D47*$C47/$K$12</f>
        <v>2.5536037490311119E-2</v>
      </c>
      <c r="L47" s="140">
        <f>+E47*$C47/$K$12</f>
        <v>2.1527167957429968E-2</v>
      </c>
      <c r="M47" s="140">
        <f t="shared" si="4"/>
        <v>3.3580306292039353E-5</v>
      </c>
      <c r="N47" s="140">
        <f t="shared" si="5"/>
        <v>3.6427907046952215E-2</v>
      </c>
      <c r="O47" s="140">
        <f t="shared" si="6"/>
        <v>3.4928932094488947E-2</v>
      </c>
      <c r="P47" s="140">
        <f t="shared" si="7"/>
        <v>2.7782727099187735E-2</v>
      </c>
      <c r="Q47" s="140"/>
      <c r="R47" s="236">
        <f t="shared" si="8"/>
        <v>2.3165910170647893E-2</v>
      </c>
      <c r="S47" s="57">
        <v>79.420695200000011</v>
      </c>
      <c r="T47" s="57">
        <f t="shared" si="9"/>
        <v>1.8398526906936066</v>
      </c>
      <c r="U47" s="57"/>
      <c r="V47" s="57">
        <f>+V$15*L47</f>
        <v>161.62597702438421</v>
      </c>
      <c r="W47" s="57">
        <f>+W$15*M47</f>
        <v>1.4900589310966621</v>
      </c>
      <c r="X47" s="57">
        <f>+X$15*N47</f>
        <v>12510.873252019363</v>
      </c>
      <c r="Y47" s="57">
        <f>+Y$15*O47</f>
        <v>66.539615640001443</v>
      </c>
      <c r="Z47" s="140"/>
      <c r="AA47" s="57"/>
      <c r="AB47" s="57">
        <f t="shared" si="10"/>
        <v>12742.368756305539</v>
      </c>
      <c r="AC47" s="5">
        <f t="shared" si="2"/>
        <v>1564.4189245201628</v>
      </c>
      <c r="AD47" s="5">
        <f t="shared" si="3"/>
        <v>5096.783701424325</v>
      </c>
      <c r="AF47" s="87"/>
    </row>
    <row r="48" spans="1:32" x14ac:dyDescent="0.25">
      <c r="A48">
        <f t="shared" si="13"/>
        <v>2050</v>
      </c>
      <c r="B48">
        <f t="shared" si="13"/>
        <v>30</v>
      </c>
      <c r="C48" s="45">
        <f>+'Electric P&amp;R VMT reduction'!H57</f>
        <v>17602</v>
      </c>
      <c r="D48">
        <v>1.4023469987347861</v>
      </c>
      <c r="E48">
        <v>1.1820086411214168</v>
      </c>
      <c r="F48">
        <v>1.8433519652672401E-3</v>
      </c>
      <c r="G48">
        <v>2.0007930846758639</v>
      </c>
      <c r="H48">
        <v>1.9173566093282299</v>
      </c>
      <c r="I48">
        <v>1.5255169998841438</v>
      </c>
      <c r="J48" s="45"/>
      <c r="K48" s="140">
        <f>+D48*$C48/$K$12</f>
        <v>2.7209567918042851E-2</v>
      </c>
      <c r="L48" s="140">
        <f>+E48*$C48/$K$12</f>
        <v>2.2934369617023186E-2</v>
      </c>
      <c r="M48" s="140">
        <f t="shared" si="4"/>
        <v>3.5766333540164315E-5</v>
      </c>
      <c r="N48" s="140">
        <f t="shared" si="5"/>
        <v>3.8821144393331633E-2</v>
      </c>
      <c r="O48" s="140">
        <f t="shared" si="6"/>
        <v>3.7202236630230333E-2</v>
      </c>
      <c r="P48" s="140">
        <f t="shared" si="7"/>
        <v>2.9599420440109457E-2</v>
      </c>
      <c r="Q48" s="140"/>
      <c r="R48" s="236">
        <f t="shared" si="8"/>
        <v>2.4684111871729704E-2</v>
      </c>
      <c r="S48" s="57">
        <v>80.452132800000001</v>
      </c>
      <c r="T48" s="57">
        <f t="shared" si="9"/>
        <v>1.9858894463544547</v>
      </c>
      <c r="U48" s="57"/>
      <c r="V48" s="57">
        <f>+V$15*L48</f>
        <v>172.19124708461007</v>
      </c>
      <c r="W48" s="57">
        <f>+W$15*M48</f>
        <v>1.5870595181777112</v>
      </c>
      <c r="X48" s="57">
        <f>+X$15*N48</f>
        <v>13332.811472734602</v>
      </c>
      <c r="Y48" s="57">
        <f>+Y$15*O48</f>
        <v>70.870260780588779</v>
      </c>
      <c r="Z48" s="140"/>
      <c r="AA48" s="57"/>
      <c r="AB48" s="57">
        <f t="shared" si="10"/>
        <v>13579.445929564332</v>
      </c>
      <c r="AC48" s="5">
        <f t="shared" si="2"/>
        <v>1558.1209401026249</v>
      </c>
      <c r="AD48" s="5">
        <f t="shared" si="3"/>
        <v>5273.4017575103044</v>
      </c>
      <c r="AF48" s="87"/>
    </row>
    <row r="49" spans="1:32" x14ac:dyDescent="0.25">
      <c r="A49" s="1" t="s">
        <v>23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57"/>
      <c r="T49" s="57"/>
      <c r="U49" s="57"/>
      <c r="V49" s="45"/>
      <c r="W49" s="45"/>
      <c r="X49" s="45"/>
      <c r="Y49" s="45"/>
      <c r="Z49" s="45"/>
      <c r="AB49" s="11">
        <f>SUM(AB16:AB48)</f>
        <v>212882.87299061404</v>
      </c>
      <c r="AC49" s="11">
        <f>SUM(AC16:AC48)</f>
        <v>55295.462604883447</v>
      </c>
      <c r="AD49" s="11">
        <f>SUM(AD16:AD48)</f>
        <v>114126.90151291761</v>
      </c>
      <c r="AF49" s="87"/>
    </row>
    <row r="50" spans="1:32" x14ac:dyDescent="0.25">
      <c r="AF50" s="87"/>
    </row>
  </sheetData>
  <mergeCells count="3">
    <mergeCell ref="AB14:AD14"/>
    <mergeCell ref="D14:I14"/>
    <mergeCell ref="K14:P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Summary</vt:lpstr>
      <vt:lpstr>Project Costs</vt:lpstr>
      <vt:lpstr>Flood Repair</vt:lpstr>
      <vt:lpstr>Property Value</vt:lpstr>
      <vt:lpstr>Pedestrian</vt:lpstr>
      <vt:lpstr>Bicycle</vt:lpstr>
      <vt:lpstr>Electric P&amp;R VMT reduction</vt:lpstr>
      <vt:lpstr>VMT-related Pavement benefits</vt:lpstr>
      <vt:lpstr>VMT-related Emissions Benefits</vt:lpstr>
      <vt:lpstr>Bicycle!Print_Area</vt:lpstr>
      <vt:lpstr>'Flood Repair'!Print_Area</vt:lpstr>
      <vt:lpstr>Pedestrian!Print_Area</vt:lpstr>
      <vt:lpstr>'Project Costs'!Print_Area</vt:lpstr>
      <vt:lpstr>'Property Value'!Print_Area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Nixon, Tracey</dc:creator>
  <cp:lastModifiedBy>Nixon, Tracey</cp:lastModifiedBy>
  <cp:lastPrinted>2018-07-19T00:20:17Z</cp:lastPrinted>
  <dcterms:created xsi:type="dcterms:W3CDTF">2018-06-22T20:46:43Z</dcterms:created>
  <dcterms:modified xsi:type="dcterms:W3CDTF">2018-07-27T21:25:39Z</dcterms:modified>
</cp:coreProperties>
</file>